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Документ!$E$1:$E$594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J575" i="2"/>
  <c r="I575"/>
  <c r="G569"/>
  <c r="G568"/>
  <c r="G462"/>
  <c r="G461"/>
  <c r="G439"/>
  <c r="G438"/>
  <c r="G386"/>
  <c r="G385"/>
  <c r="G377"/>
  <c r="G376"/>
  <c r="G300"/>
  <c r="G299"/>
  <c r="G191"/>
  <c r="G190"/>
  <c r="G189"/>
  <c r="G146"/>
  <c r="G145"/>
  <c r="G98"/>
  <c r="G97"/>
  <c r="G67"/>
  <c r="G66"/>
  <c r="G57"/>
  <c r="G56"/>
  <c r="G40"/>
  <c r="G39"/>
  <c r="H575"/>
  <c r="F45"/>
  <c r="G460"/>
  <c r="G459"/>
  <c r="F466"/>
  <c r="G419"/>
  <c r="G403"/>
  <c r="G402"/>
  <c r="G371"/>
  <c r="G370"/>
  <c r="G369"/>
  <c r="G221"/>
  <c r="G220"/>
  <c r="G219"/>
  <c r="G218"/>
  <c r="G173"/>
  <c r="G172"/>
  <c r="G171"/>
  <c r="G170"/>
  <c r="G169"/>
  <c r="F86" l="1"/>
  <c r="F573"/>
  <c r="F572"/>
  <c r="F571"/>
  <c r="F570"/>
  <c r="F567"/>
  <c r="F566"/>
  <c r="F565"/>
  <c r="F555"/>
  <c r="F546"/>
  <c r="F542"/>
  <c r="F541"/>
  <c r="F538"/>
  <c r="F537"/>
  <c r="F532"/>
  <c r="F531"/>
  <c r="F529"/>
  <c r="F528"/>
  <c r="F527"/>
  <c r="F526"/>
  <c r="F525"/>
  <c r="F524"/>
  <c r="F523"/>
  <c r="F520"/>
  <c r="F519"/>
  <c r="F516"/>
  <c r="F515"/>
  <c r="F514"/>
  <c r="F513"/>
  <c r="F474"/>
  <c r="F468"/>
  <c r="F467"/>
  <c r="F465"/>
  <c r="F452"/>
  <c r="F450"/>
  <c r="F447"/>
  <c r="F446"/>
  <c r="F445"/>
  <c r="F444"/>
  <c r="F441"/>
  <c r="F440"/>
  <c r="F435"/>
  <c r="F432"/>
  <c r="F431"/>
  <c r="F430"/>
  <c r="F420"/>
  <c r="F418"/>
  <c r="F417"/>
  <c r="F416"/>
  <c r="F412"/>
  <c r="F411"/>
  <c r="F407"/>
  <c r="F406"/>
  <c r="F405"/>
  <c r="F404"/>
  <c r="F382"/>
  <c r="F380"/>
  <c r="F379"/>
  <c r="F378"/>
  <c r="F375"/>
  <c r="F374"/>
  <c r="F373"/>
  <c r="F372"/>
  <c r="F357"/>
  <c r="F356"/>
  <c r="F355"/>
  <c r="F348"/>
  <c r="F346"/>
  <c r="F345"/>
  <c r="F331"/>
  <c r="F330"/>
  <c r="F329"/>
  <c r="F328"/>
  <c r="F327"/>
  <c r="F322"/>
  <c r="F321"/>
  <c r="F320"/>
  <c r="F319"/>
  <c r="F318"/>
  <c r="F317"/>
  <c r="F316"/>
  <c r="F314"/>
  <c r="F312"/>
  <c r="F311"/>
  <c r="F310"/>
  <c r="F298"/>
  <c r="F297"/>
  <c r="F296"/>
  <c r="F295"/>
  <c r="F294"/>
  <c r="F254"/>
  <c r="F253"/>
  <c r="F234"/>
  <c r="F233"/>
  <c r="F193"/>
  <c r="F192"/>
  <c r="F188"/>
  <c r="F185"/>
  <c r="F182"/>
  <c r="F181"/>
  <c r="F176"/>
  <c r="F175"/>
  <c r="F174"/>
  <c r="F164"/>
  <c r="F163"/>
  <c r="F162"/>
  <c r="F161"/>
  <c r="F148"/>
  <c r="F147"/>
  <c r="F144"/>
  <c r="F136"/>
  <c r="F135"/>
  <c r="F133"/>
  <c r="F132"/>
  <c r="F131"/>
  <c r="F124"/>
  <c r="F123"/>
  <c r="F122"/>
  <c r="F121"/>
  <c r="F119"/>
  <c r="F118"/>
  <c r="F115"/>
  <c r="F114"/>
  <c r="F113"/>
  <c r="F112"/>
  <c r="F111"/>
  <c r="F110"/>
  <c r="F109"/>
  <c r="F101"/>
  <c r="F100"/>
  <c r="F99"/>
  <c r="F96"/>
  <c r="F95"/>
  <c r="F85"/>
  <c r="F72"/>
  <c r="F71"/>
  <c r="F69"/>
  <c r="F68"/>
  <c r="F63"/>
  <c r="F62"/>
  <c r="F61"/>
  <c r="F59"/>
  <c r="F58"/>
  <c r="F55"/>
  <c r="F54"/>
  <c r="F53"/>
  <c r="F52"/>
  <c r="F44"/>
  <c r="F43"/>
  <c r="F36"/>
  <c r="F35"/>
  <c r="F33"/>
  <c r="F32"/>
  <c r="K32" s="1"/>
  <c r="F30"/>
  <c r="F29"/>
  <c r="F28"/>
  <c r="F27"/>
  <c r="F26"/>
  <c r="F25"/>
  <c r="F23"/>
  <c r="F22"/>
  <c r="F21"/>
  <c r="F20"/>
  <c r="F19"/>
  <c r="F18"/>
  <c r="F17"/>
  <c r="F16"/>
  <c r="F15"/>
  <c r="F14"/>
  <c r="F11"/>
  <c r="F10"/>
  <c r="F9"/>
  <c r="F8"/>
  <c r="F7"/>
  <c r="G440" l="1"/>
  <c r="G432"/>
  <c r="G430"/>
  <c r="G418"/>
  <c r="G420"/>
  <c r="G404"/>
  <c r="G406"/>
  <c r="G407"/>
  <c r="G379"/>
  <c r="G375"/>
  <c r="G356"/>
  <c r="G357"/>
  <c r="G346"/>
  <c r="G345"/>
  <c r="G331"/>
  <c r="G329"/>
  <c r="G330"/>
  <c r="G328"/>
  <c r="G327"/>
  <c r="G294"/>
  <c r="G318"/>
  <c r="G317"/>
  <c r="G316"/>
  <c r="G310"/>
  <c r="G297"/>
  <c r="G295"/>
  <c r="G258"/>
  <c r="G257"/>
  <c r="G254"/>
  <c r="G253"/>
  <c r="G234"/>
  <c r="G233"/>
  <c r="G193"/>
  <c r="G192"/>
  <c r="G181"/>
  <c r="G176"/>
  <c r="G166"/>
  <c r="G165"/>
  <c r="G164"/>
  <c r="G148"/>
  <c r="G144"/>
  <c r="G135"/>
  <c r="G133"/>
  <c r="G132"/>
  <c r="G124"/>
  <c r="G123"/>
  <c r="G122"/>
  <c r="G118"/>
  <c r="G101"/>
  <c r="G99"/>
  <c r="G96"/>
  <c r="G95"/>
  <c r="G72"/>
  <c r="G68"/>
  <c r="G62"/>
  <c r="G61"/>
  <c r="G58"/>
  <c r="G59"/>
  <c r="G53"/>
  <c r="G54"/>
  <c r="G55"/>
  <c r="G44"/>
  <c r="G36"/>
  <c r="G33"/>
  <c r="G32"/>
  <c r="G30"/>
  <c r="G28"/>
  <c r="G27"/>
  <c r="G26"/>
  <c r="G23"/>
  <c r="G21"/>
  <c r="G19"/>
  <c r="G18"/>
  <c r="G16"/>
  <c r="G17"/>
  <c r="G15"/>
  <c r="G14"/>
  <c r="G10"/>
  <c r="G11"/>
  <c r="G564"/>
  <c r="G563"/>
  <c r="G562"/>
  <c r="G561"/>
  <c r="G560"/>
  <c r="G559"/>
  <c r="G558"/>
  <c r="G557"/>
  <c r="G556"/>
  <c r="G554"/>
  <c r="G553"/>
  <c r="G552"/>
  <c r="G551"/>
  <c r="G550"/>
  <c r="G549"/>
  <c r="G548"/>
  <c r="G547"/>
  <c r="G545"/>
  <c r="G544"/>
  <c r="G543"/>
  <c r="G540"/>
  <c r="G539"/>
  <c r="G536"/>
  <c r="G535"/>
  <c r="G534"/>
  <c r="G533"/>
  <c r="G530"/>
  <c r="G529"/>
  <c r="G528"/>
  <c r="G527"/>
  <c r="G526"/>
  <c r="G522"/>
  <c r="G521"/>
  <c r="G518"/>
  <c r="G517"/>
  <c r="G514"/>
  <c r="G507"/>
  <c r="G506"/>
  <c r="G505"/>
  <c r="G504"/>
  <c r="G503"/>
  <c r="G502"/>
  <c r="G501"/>
  <c r="G500"/>
  <c r="G499"/>
  <c r="G498"/>
  <c r="G497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3"/>
  <c r="G472"/>
  <c r="G471"/>
  <c r="G470"/>
  <c r="G469"/>
  <c r="G467"/>
  <c r="G466"/>
  <c r="G465"/>
  <c r="G464"/>
  <c r="G463"/>
  <c r="G457"/>
  <c r="G456"/>
  <c r="G455"/>
  <c r="G452"/>
  <c r="G449"/>
  <c r="G448"/>
  <c r="G443"/>
  <c r="G442"/>
  <c r="G437"/>
  <c r="G436"/>
  <c r="G434"/>
  <c r="G433"/>
  <c r="G431"/>
  <c r="G429"/>
  <c r="G428"/>
  <c r="G427"/>
  <c r="G426"/>
  <c r="G425"/>
  <c r="G424"/>
  <c r="G423"/>
  <c r="G422"/>
  <c r="G421"/>
  <c r="G417"/>
  <c r="G416"/>
  <c r="G415"/>
  <c r="G414"/>
  <c r="G413"/>
  <c r="G410"/>
  <c r="G409"/>
  <c r="G408"/>
  <c r="G401"/>
  <c r="G400"/>
  <c r="G399"/>
  <c r="G398"/>
  <c r="G397"/>
  <c r="G396"/>
  <c r="G395"/>
  <c r="G394"/>
  <c r="G393"/>
  <c r="G392"/>
  <c r="G391"/>
  <c r="G390"/>
  <c r="G389"/>
  <c r="G388"/>
  <c r="G387"/>
  <c r="G384"/>
  <c r="G383"/>
  <c r="G381"/>
  <c r="G368"/>
  <c r="G367"/>
  <c r="G366"/>
  <c r="G365"/>
  <c r="G364"/>
  <c r="G363"/>
  <c r="G362"/>
  <c r="G361"/>
  <c r="G360"/>
  <c r="G359"/>
  <c r="G358"/>
  <c r="G355"/>
  <c r="G354"/>
  <c r="G353"/>
  <c r="G352"/>
  <c r="G351"/>
  <c r="G350"/>
  <c r="G349"/>
  <c r="G347"/>
  <c r="G344"/>
  <c r="G343"/>
  <c r="G342"/>
  <c r="G341"/>
  <c r="G340"/>
  <c r="G339"/>
  <c r="G338"/>
  <c r="G337"/>
  <c r="G336"/>
  <c r="G335"/>
  <c r="G334"/>
  <c r="G333"/>
  <c r="G332"/>
  <c r="G326"/>
  <c r="G325"/>
  <c r="G324"/>
  <c r="G323"/>
  <c r="G322"/>
  <c r="G315"/>
  <c r="G313"/>
  <c r="G312"/>
  <c r="G309"/>
  <c r="G308"/>
  <c r="G307"/>
  <c r="G306"/>
  <c r="G305"/>
  <c r="G304"/>
  <c r="G303"/>
  <c r="G302"/>
  <c r="G301"/>
  <c r="G293"/>
  <c r="G292"/>
  <c r="G291"/>
  <c r="G290"/>
  <c r="G289"/>
  <c r="G288"/>
  <c r="G287"/>
  <c r="G286"/>
  <c r="G285"/>
  <c r="G284"/>
  <c r="G283"/>
  <c r="G282"/>
  <c r="G281"/>
  <c r="G280"/>
  <c r="G276"/>
  <c r="G275"/>
  <c r="G274"/>
  <c r="G273"/>
  <c r="G271"/>
  <c r="G270"/>
  <c r="G269"/>
  <c r="G268"/>
  <c r="G267"/>
  <c r="G266"/>
  <c r="G265"/>
  <c r="G264"/>
  <c r="G256"/>
  <c r="G255"/>
  <c r="G249"/>
  <c r="G248"/>
  <c r="G243"/>
  <c r="G242"/>
  <c r="G241"/>
  <c r="G240"/>
  <c r="G239"/>
  <c r="G238"/>
  <c r="G217"/>
  <c r="G216"/>
  <c r="G215"/>
  <c r="G214"/>
  <c r="G213"/>
  <c r="G212"/>
  <c r="G211"/>
  <c r="G210"/>
  <c r="G209"/>
  <c r="G208"/>
  <c r="G207"/>
  <c r="G202"/>
  <c r="G201"/>
  <c r="G200"/>
  <c r="G186"/>
  <c r="G184"/>
  <c r="G183"/>
  <c r="G180"/>
  <c r="G179"/>
  <c r="G178"/>
  <c r="G177"/>
  <c r="G168"/>
  <c r="G167"/>
  <c r="G163"/>
  <c r="G162"/>
  <c r="G161"/>
  <c r="G160"/>
  <c r="G159"/>
  <c r="G158"/>
  <c r="G157"/>
  <c r="G156"/>
  <c r="G155"/>
  <c r="G154"/>
  <c r="G153"/>
  <c r="G152"/>
  <c r="G151"/>
  <c r="G150"/>
  <c r="G149"/>
  <c r="G147"/>
  <c r="G143"/>
  <c r="G142"/>
  <c r="G141"/>
  <c r="G140"/>
  <c r="G139"/>
  <c r="G138"/>
  <c r="G137"/>
  <c r="G136"/>
  <c r="G134"/>
  <c r="G131"/>
  <c r="G130"/>
  <c r="G129"/>
  <c r="G128"/>
  <c r="G127"/>
  <c r="G121"/>
  <c r="G120"/>
  <c r="G119"/>
  <c r="G117"/>
  <c r="G116"/>
  <c r="G113"/>
  <c r="G112"/>
  <c r="G111"/>
  <c r="G110"/>
  <c r="G108"/>
  <c r="G107"/>
  <c r="G106"/>
  <c r="G105"/>
  <c r="G104"/>
  <c r="G103"/>
  <c r="G102"/>
  <c r="G100"/>
  <c r="G94"/>
  <c r="G93"/>
  <c r="G92"/>
  <c r="G91"/>
  <c r="G90"/>
  <c r="G89"/>
  <c r="G88"/>
  <c r="G87"/>
  <c r="G84"/>
  <c r="G83"/>
  <c r="G82"/>
  <c r="G81"/>
  <c r="G80"/>
  <c r="G79"/>
  <c r="G78"/>
  <c r="G77"/>
  <c r="G76"/>
  <c r="G75"/>
  <c r="G74"/>
  <c r="G71"/>
  <c r="G70"/>
  <c r="G69"/>
  <c r="G65"/>
  <c r="G64"/>
  <c r="G63"/>
  <c r="G60"/>
  <c r="G52"/>
  <c r="G51"/>
  <c r="G50"/>
  <c r="G49"/>
  <c r="G48"/>
  <c r="G47"/>
  <c r="G46"/>
  <c r="G42"/>
  <c r="G41"/>
  <c r="G38"/>
  <c r="G37"/>
  <c r="G34"/>
  <c r="G31"/>
  <c r="G24"/>
  <c r="G22"/>
  <c r="G20"/>
  <c r="G13"/>
  <c r="G12"/>
  <c r="G9"/>
  <c r="G8"/>
  <c r="G7"/>
  <c r="G272"/>
  <c r="G277"/>
  <c r="G573"/>
  <c r="G572"/>
  <c r="G571"/>
  <c r="G570"/>
  <c r="G567"/>
  <c r="G566"/>
  <c r="G565"/>
  <c r="G555"/>
  <c r="G546"/>
  <c r="G542"/>
  <c r="G541"/>
  <c r="G538"/>
  <c r="G537"/>
  <c r="G532"/>
  <c r="G531"/>
  <c r="G525"/>
  <c r="G524"/>
  <c r="G523"/>
  <c r="G520"/>
  <c r="G519"/>
  <c r="G516"/>
  <c r="G515"/>
  <c r="G513"/>
  <c r="G512"/>
  <c r="G511"/>
  <c r="G510"/>
  <c r="G509"/>
  <c r="G508"/>
  <c r="G496"/>
  <c r="G475"/>
  <c r="G474"/>
  <c r="G468"/>
  <c r="G458"/>
  <c r="G454"/>
  <c r="G453"/>
  <c r="G451"/>
  <c r="G450"/>
  <c r="G447"/>
  <c r="G446"/>
  <c r="G445"/>
  <c r="G444"/>
  <c r="G441"/>
  <c r="G435"/>
  <c r="G412"/>
  <c r="G411"/>
  <c r="G405"/>
  <c r="G382"/>
  <c r="G380"/>
  <c r="G378"/>
  <c r="G374"/>
  <c r="G373"/>
  <c r="G372"/>
  <c r="G321"/>
  <c r="G320"/>
  <c r="G314"/>
  <c r="G311"/>
  <c r="G298"/>
  <c r="G296"/>
  <c r="G279"/>
  <c r="G278"/>
  <c r="G263"/>
  <c r="G262"/>
  <c r="G261"/>
  <c r="G260"/>
  <c r="G259"/>
  <c r="G252"/>
  <c r="G251"/>
  <c r="G250"/>
  <c r="G247"/>
  <c r="G246"/>
  <c r="G245"/>
  <c r="G244"/>
  <c r="G237"/>
  <c r="G236"/>
  <c r="G235"/>
  <c r="G232"/>
  <c r="G231"/>
  <c r="G230"/>
  <c r="G229"/>
  <c r="G228"/>
  <c r="G227"/>
  <c r="G226"/>
  <c r="G225"/>
  <c r="G224"/>
  <c r="G223"/>
  <c r="G222"/>
  <c r="G206"/>
  <c r="G205"/>
  <c r="G204"/>
  <c r="G203"/>
  <c r="G199"/>
  <c r="G198"/>
  <c r="G197"/>
  <c r="G196"/>
  <c r="G195"/>
  <c r="G194"/>
  <c r="G188"/>
  <c r="G187"/>
  <c r="G182"/>
  <c r="G175"/>
  <c r="G174"/>
  <c r="G126"/>
  <c r="G125"/>
  <c r="G115"/>
  <c r="G114"/>
  <c r="G109"/>
  <c r="G86"/>
  <c r="G85"/>
  <c r="G45"/>
  <c r="G43"/>
  <c r="G35"/>
  <c r="G25"/>
  <c r="G29" l="1"/>
  <c r="K29"/>
  <c r="G185"/>
  <c r="G319"/>
  <c r="G348"/>
  <c r="F575"/>
  <c r="G575" l="1"/>
</calcChain>
</file>

<file path=xl/sharedStrings.xml><?xml version="1.0" encoding="utf-8"?>
<sst xmlns="http://schemas.openxmlformats.org/spreadsheetml/2006/main" count="2459" uniqueCount="724">
  <si>
    <t>Единица измерения: 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</si>
  <si>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</si>
  <si>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</si>
  <si>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</si>
  <si>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</si>
  <si>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</si>
  <si>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Текущий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</si>
  <si>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</si>
  <si>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</si>
  <si>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</si>
  <si>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</si>
  <si>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</si>
  <si>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</si>
  <si>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</si>
  <si>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</si>
  <si>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</si>
  <si>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</si>
  <si>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</si>
  <si>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</si>
  <si>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</si>
  <si>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</si>
  <si>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</si>
  <si>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</si>
  <si>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</si>
  <si>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</si>
  <si>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</si>
  <si>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</si>
  <si>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</si>
  <si>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</si>
  <si>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</si>
  <si>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</si>
  <si>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</si>
  <si>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</si>
  <si>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</si>
  <si>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</si>
  <si>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</si>
  <si>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</si>
  <si>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</si>
  <si>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</si>
  <si>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</si>
  <si>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</si>
  <si>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</si>
  <si>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</si>
  <si>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</si>
  <si>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</si>
  <si>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</si>
  <si>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</si>
  <si>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</si>
  <si>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</si>
  <si>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</si>
  <si>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</si>
  <si>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</si>
  <si>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</si>
  <si>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</si>
  <si>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</si>
  <si>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</si>
  <si>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</si>
  <si>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</si>
  <si>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</si>
  <si>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</si>
  <si>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</si>
  <si>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</si>
  <si>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</si>
  <si>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</si>
  <si>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</si>
  <si>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</si>
  <si>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</si>
  <si>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</si>
  <si>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</si>
  <si>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</si>
  <si>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</si>
  <si>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</si>
  <si>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</si>
  <si>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</si>
  <si>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</si>
  <si>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</si>
  <si>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</si>
  <si>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</si>
  <si>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</si>
  <si>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</si>
  <si>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</si>
  <si>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</si>
  <si>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</si>
  <si>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</si>
  <si>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</si>
  <si>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</si>
  <si>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</si>
  <si>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</si>
  <si>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</si>
  <si>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</si>
  <si>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</si>
  <si>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</si>
  <si>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</si>
  <si>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</si>
  <si>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</si>
  <si>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</si>
  <si>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</si>
  <si>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</si>
  <si>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</si>
  <si>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</si>
  <si>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</si>
  <si>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</si>
  <si>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</si>
  <si>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</si>
  <si>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</si>
  <si>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</si>
  <si>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</si>
  <si>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</si>
  <si>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</si>
  <si>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600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</si>
  <si>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</si>
  <si>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</si>
  <si>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</si>
  <si>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</si>
  <si>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</si>
  <si>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</si>
  <si>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</si>
  <si>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</si>
  <si>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</si>
  <si>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</si>
  <si>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</si>
  <si>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</si>
  <si>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</si>
  <si>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</si>
  <si>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</si>
  <si>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</si>
  <si>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</si>
  <si>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</si>
  <si>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</si>
  <si>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</si>
  <si>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</si>
  <si>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</si>
  <si>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</si>
  <si>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</si>
  <si>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</si>
  <si>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</si>
  <si>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</si>
  <si>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</si>
  <si>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НАЦИОНАЛЬНАЯ ЭКОНОМИКА</t>
  </si>
  <si>
    <t>0400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</si>
  <si>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</si>
  <si>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</si>
  <si>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</si>
  <si>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</si>
  <si>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</si>
  <si>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</si>
  <si>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</si>
  <si>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</si>
  <si>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</si>
  <si>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</si>
  <si>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</si>
  <si>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</si>
  <si>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</si>
  <si>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</si>
  <si>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</si>
  <si>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</si>
  <si>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</si>
  <si>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</si>
  <si>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</si>
  <si>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</si>
  <si>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</si>
  <si>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</si>
  <si>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</si>
  <si>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</si>
  <si>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</si>
  <si>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</si>
  <si>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</si>
  <si>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</si>
  <si>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</si>
  <si>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</si>
  <si>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</si>
  <si>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</si>
  <si>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</si>
  <si>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</si>
  <si>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</si>
  <si>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</si>
  <si>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</si>
  <si>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</si>
  <si>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</si>
  <si>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</si>
  <si>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</si>
  <si>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</si>
  <si>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</si>
  <si>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</si>
  <si>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</si>
  <si>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</si>
  <si>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</si>
  <si>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</si>
  <si>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</si>
  <si>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</si>
  <si>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</si>
  <si>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</si>
  <si>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</si>
  <si>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</si>
  <si>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</si>
  <si>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</si>
  <si>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</si>
  <si>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</si>
  <si>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</si>
  <si>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</si>
  <si>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</si>
  <si>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</si>
  <si>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</si>
  <si>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</si>
  <si>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</si>
  <si>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</si>
  <si>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</si>
  <si>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</si>
  <si>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</si>
  <si>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Благоустройство</t>
  </si>
  <si>
    <t>0503</t>
  </si>
  <si>
    <t xml:space="preserve">Расходы на уличное освещение </t>
  </si>
  <si>
    <t>0400378670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</si>
  <si>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</si>
  <si>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</si>
  <si>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</si>
  <si>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</si>
  <si>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</si>
  <si>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</si>
  <si>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</si>
  <si>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</si>
  <si>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</si>
  <si>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</si>
  <si>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</si>
  <si>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</si>
  <si>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</si>
  <si>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ОБРАЗОВАНИЕ</t>
  </si>
  <si>
    <t>0700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</si>
  <si>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</si>
  <si>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</si>
  <si>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</si>
  <si>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</si>
  <si>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</si>
  <si>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</si>
  <si>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</si>
  <si>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</si>
  <si>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</si>
  <si>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</si>
  <si>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</si>
  <si>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</si>
  <si>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</si>
  <si>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</si>
  <si>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</si>
  <si>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</si>
  <si>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</si>
  <si>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</si>
  <si>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</si>
  <si>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</si>
  <si>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</si>
  <si>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</si>
  <si>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</si>
  <si>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</si>
  <si>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</si>
  <si>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</si>
  <si>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</si>
  <si>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</si>
  <si>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</si>
  <si>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</si>
  <si>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</si>
  <si>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</si>
  <si>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</si>
  <si>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</si>
  <si>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</si>
  <si>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</si>
  <si>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</si>
  <si>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</si>
  <si>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</si>
  <si>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</si>
  <si>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</si>
  <si>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</si>
  <si>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</si>
  <si>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</si>
  <si>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</si>
  <si>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</si>
  <si>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</si>
  <si>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</si>
  <si>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</si>
  <si>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</si>
  <si>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</si>
  <si>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</si>
  <si>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</si>
  <si>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</si>
  <si>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</si>
  <si>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</si>
  <si>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</si>
  <si>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</si>
  <si>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</si>
  <si>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</si>
  <si>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</si>
  <si>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</si>
  <si>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</si>
  <si>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</si>
  <si>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</si>
  <si>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</si>
  <si>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</si>
  <si>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</si>
  <si>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</si>
  <si>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</si>
  <si>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Реализация мероприятий областной адресной программы капитального ремонта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</si>
  <si>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</si>
  <si>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</si>
  <si>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</si>
  <si>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</si>
  <si>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</si>
  <si>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</si>
  <si>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</si>
  <si>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</si>
  <si>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</si>
  <si>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</si>
  <si>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</si>
  <si>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</si>
  <si>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</si>
  <si>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</si>
  <si>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</si>
  <si>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</si>
  <si>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</si>
  <si>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</si>
  <si>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</si>
  <si>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</si>
  <si>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</si>
  <si>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</si>
  <si>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Социальное обеспечение населения</t>
  </si>
  <si>
    <t>1003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</si>
  <si>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</si>
  <si>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</si>
  <si>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</si>
  <si>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</si>
  <si>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</si>
  <si>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</si>
  <si>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Охрана семьи и детства</t>
  </si>
  <si>
    <t>1004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</si>
  <si>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</si>
  <si>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</si>
  <si>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</si>
  <si>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</si>
  <si>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</si>
  <si>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</si>
  <si>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</si>
  <si>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</si>
  <si>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</si>
  <si>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</si>
  <si>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</si>
  <si>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</si>
  <si>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</si>
  <si>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</si>
  <si>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</si>
  <si>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</si>
  <si>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</si>
  <si>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</si>
  <si>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</si>
  <si>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</si>
  <si>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</si>
  <si>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</si>
  <si>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</si>
  <si>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</si>
  <si>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</si>
  <si>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</si>
  <si>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</si>
  <si>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</si>
  <si>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</si>
  <si>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</si>
  <si>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</si>
  <si>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</si>
  <si>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</si>
  <si>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</si>
  <si>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</si>
  <si>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</si>
  <si>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</si>
  <si>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</si>
  <si>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</si>
  <si>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</si>
  <si>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</si>
  <si>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</si>
  <si>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</si>
  <si>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</si>
  <si>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</si>
  <si>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межбюджетные трансферты общего характера</t>
  </si>
  <si>
    <t>1403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</si>
  <si>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</si>
  <si>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</si>
  <si>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</si>
  <si>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</si>
  <si>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</si>
  <si>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2024 год</t>
  </si>
  <si>
    <t>2025 год</t>
  </si>
  <si>
    <t>изменения</t>
  </si>
  <si>
    <t>1100180240</t>
  </si>
  <si>
    <t>Подпрограмм 4 "Развитие гражданского общества в Хохольском муниципальном районе"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</si>
  <si>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</si>
  <si>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</si>
  <si>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</si>
  <si>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</si>
  <si>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0630200000</t>
  </si>
  <si>
    <t>1100180590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</si>
  <si>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группам видов расходов классификации расходов районного бюджета на 2024 год и на плановый период 2025 и 2026 годов</t>
  </si>
  <si>
    <t>с учетом изменений 2024г</t>
  </si>
  <si>
    <t>2026 год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</si>
  <si>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</si>
  <si>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</si>
  <si>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</si>
  <si>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</si>
  <si>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</si>
  <si>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</si>
  <si>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</si>
  <si>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</si>
  <si>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</si>
  <si>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</si>
  <si>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</si>
  <si>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</si>
  <si>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</si>
  <si>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</si>
  <si>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</si>
  <si>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</si>
  <si>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</si>
  <si>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</si>
  <si>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</si>
  <si>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</si>
  <si>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</si>
  <si>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</si>
  <si>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</si>
  <si>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</si>
  <si>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развитию сети общеобразовательных организаций Воронежской области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</si>
  <si>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</si>
  <si>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</si>
  <si>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</si>
  <si>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</si>
  <si>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</si>
  <si>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</si>
  <si>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</si>
  <si>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</si>
  <si>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Расходы на обеспечение деятельности учреждений</t>
  </si>
  <si>
    <t>Реализация мероприятий ОАП капитального ремонта</t>
  </si>
  <si>
    <t>02202S9650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</si>
  <si>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</si>
  <si>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</si>
  <si>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</si>
  <si>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</si>
  <si>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</si>
  <si>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</si>
  <si>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</si>
  <si>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</si>
  <si>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</si>
  <si>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</si>
  <si>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</si>
  <si>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</si>
  <si>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</si>
  <si>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</si>
  <si>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</si>
  <si>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</si>
  <si>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</si>
  <si>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</si>
  <si>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</si>
  <si>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</si>
  <si>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</si>
  <si>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</si>
  <si>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</si>
  <si>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</si>
  <si>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</si>
  <si>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</si>
  <si>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</si>
  <si>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</si>
  <si>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</si>
  <si>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</si>
  <si>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</si>
  <si>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</si>
  <si>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</si>
  <si>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</si>
  <si>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</si>
  <si>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</si>
  <si>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</si>
  <si>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</si>
  <si>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</si>
  <si>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</si>
  <si>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</si>
  <si>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</si>
  <si>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</si>
  <si>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</si>
  <si>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</si>
  <si>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</si>
  <si>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</si>
  <si>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</si>
  <si>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</si>
  <si>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</si>
  <si>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</si>
  <si>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</si>
  <si>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(Закупка товаров, работ и услуг для государственных (муниципальных) нужд)</t>
  </si>
  <si>
    <t>Расходы на профилактику правонарушений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</si>
  <si>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</si>
  <si>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</si>
  <si>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</si>
  <si>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</si>
  <si>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</si>
  <si>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</si>
  <si>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</si>
  <si>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</si>
  <si>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</si>
  <si>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</si>
  <si>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</si>
  <si>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</si>
  <si>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</si>
  <si>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</si>
  <si>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</si>
  <si>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</si>
  <si>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</si>
  <si>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</si>
  <si>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</si>
  <si>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</si>
  <si>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</si>
  <si>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</si>
  <si>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</si>
  <si>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</si>
  <si>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</si>
  <si>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</si>
  <si>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</si>
  <si>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</si>
  <si>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</si>
  <si>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</si>
  <si>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</si>
  <si>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</si>
  <si>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</si>
  <si>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</si>
  <si>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</si>
  <si>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</si>
  <si>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</si>
  <si>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</si>
  <si>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</si>
  <si>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</si>
  <si>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</si>
  <si>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</si>
  <si>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Ликвидация мест несанкционированного размещения отходов(Межбюджетные трансферты)</t>
  </si>
  <si>
    <t>Расходы на уличное освещение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</si>
  <si>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</si>
  <si>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</si>
  <si>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</si>
  <si>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</si>
  <si>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</si>
  <si>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</si>
  <si>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</si>
  <si>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</si>
  <si>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</si>
  <si>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</si>
  <si>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</si>
  <si>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</si>
  <si>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</si>
  <si>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</si>
  <si>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</si>
  <si>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</si>
  <si>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</si>
  <si>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</si>
  <si>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</si>
  <si>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</si>
  <si>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</si>
  <si>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</si>
  <si>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</si>
  <si>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</si>
  <si>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</si>
  <si>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</si>
  <si>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</si>
  <si>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</si>
  <si>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</si>
  <si>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</si>
  <si>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</si>
  <si>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</si>
  <si>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</si>
  <si>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</si>
  <si>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</si>
  <si>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</si>
  <si>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</si>
  <si>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</si>
  <si>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</si>
  <si>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</si>
  <si>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</si>
  <si>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</si>
  <si>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</si>
  <si>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</si>
  <si>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</si>
  <si>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</si>
  <si>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</si>
  <si>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</si>
  <si>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</si>
  <si>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0530280400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</si>
  <si>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</si>
  <si>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</si>
  <si>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</si>
  <si>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</si>
  <si>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</si>
  <si>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</si>
  <si>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0330180630</t>
  </si>
  <si>
    <t>Иные межбюджетные трансферты</t>
  </si>
  <si>
    <t>Иные межбюджетные трансферты (Межбюджетные трансферты)</t>
  </si>
  <si>
    <t>0330380630</t>
  </si>
  <si>
    <t>Расходы по реализации мероприятий по ремонту обьктов теплоэнергетического хозяйства (Межбюджетные трансферты)</t>
  </si>
  <si>
    <t>033030000</t>
  </si>
  <si>
    <t>Региональный проект "Патриотическое воспитание граждан Российской Федерации"</t>
  </si>
  <si>
    <t>Расходы на приобретение коммунальной специализированной техники (Межбюджетные трансферты)</t>
  </si>
  <si>
    <t>Расходы на приобретение контейнеров для раздельного сбора твердых коммунальных отходов(Закупка товаров, работ и услуг для государственных (муниципальных) нужд)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</si>
  <si>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</si>
  <si>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</si>
  <si>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</si>
  <si>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Основное мероприятие "Благоустройство территорий сельских поселений Хохольского муниципального района"</t>
  </si>
  <si>
    <t>1010270100</t>
  </si>
  <si>
    <t>Расходы на проведение социально значимых мероприятий</t>
  </si>
  <si>
    <t>Расходы на проведение социально значимых мероприятий  (Межбюджетные трансферты)</t>
  </si>
  <si>
    <t>0330178270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</si>
  <si>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</si>
  <si>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</si>
  <si>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0620470100</t>
  </si>
  <si>
    <t>Расходы на проведение социально значимых мероприятий(Межбюджетные трансферты)</t>
  </si>
  <si>
    <t>07</t>
  </si>
  <si>
    <t>0220178490</t>
  </si>
  <si>
    <t>0220178270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</si>
  <si>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</si>
  <si>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</si>
  <si>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</si>
  <si>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</si>
  <si>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0220270100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</si>
  <si>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</si>
  <si>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</si>
  <si>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</si>
  <si>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</si>
  <si>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</si>
  <si>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1100170100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</si>
  <si>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</si>
  <si>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1100578490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</si>
  <si>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</si>
  <si>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</si>
  <si>
    <t>0140170100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</si>
  <si>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</t>
  </si>
  <si>
    <t>0130155490</t>
  </si>
  <si>
    <t>0530155490</t>
  </si>
  <si>
    <t>Обеспечение проведения выборов и референдумов</t>
  </si>
  <si>
    <t>0107</t>
  </si>
  <si>
    <t>Основное мероприятие "Подготовка и проведение выборов Совета народных депутатов Хохольского муниципального района Воронежской области"</t>
  </si>
  <si>
    <t>0130400000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</si>
  <si>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</t>
  </si>
  <si>
    <t>0130480400</t>
  </si>
  <si>
    <t>0800120570</t>
  </si>
  <si>
    <t>0640155490</t>
  </si>
  <si>
    <t>04003S8140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</si>
  <si>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</si>
  <si>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</si>
  <si>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</t>
  </si>
  <si>
    <t>0220250500</t>
  </si>
  <si>
    <t>0250255490</t>
  </si>
  <si>
    <t>0270270100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</si>
  <si>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</si>
  <si>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области"</t>
  </si>
  <si>
    <t>0800180050</t>
  </si>
  <si>
    <t xml:space="preserve"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</si>
  <si>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</si>
  <si>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0400380300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</si>
  <si>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</si>
  <si>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района"(Межбюджетные трансферты)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</si>
  <si>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управление"(межбюджетные трансферты)</t>
  </si>
  <si>
    <t>0314</t>
  </si>
  <si>
    <t>09001S9890</t>
  </si>
  <si>
    <t>1020000000</t>
  </si>
  <si>
    <t>1020100000</t>
  </si>
  <si>
    <t>1020180600</t>
  </si>
  <si>
    <t>02202S9970</t>
  </si>
  <si>
    <t>0240280110</t>
  </si>
  <si>
    <t>1100570100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</si>
  <si>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</si>
  <si>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национальной безопасности и правоохранительной деятельности</t>
  </si>
  <si>
    <t>Расходы на повышение уровня защищенности помещений, предоставляемых для работы участковых уполномоченных полиции</t>
  </si>
  <si>
    <t>Расходы на повышение уровня защищенности помещений, предоставляемых для работы участковых уполномоченных полиции (Межбюджетные трансферты)</t>
  </si>
  <si>
    <t>Подпрограмма "Повышение безопасности дорожного движения на территории Хохольского муниципального района"</t>
  </si>
  <si>
    <t>Основное мероприятие "Установка искусственного освещения на участках повышенной опасности"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</si>
  <si>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</si>
  <si>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(Межбюджетные трансферты)</t>
  </si>
  <si>
    <t>Расходы на модернизацию уличного освещения (Межбюджетные трансферты)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</si>
  <si>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характера"(Межбюджетные трансферты)</t>
  </si>
  <si>
    <t>Расходы на организацию бесплатного питания обучающихся из многодетных семей в муниципальных образовательных организациях</t>
  </si>
  <si>
    <t>Расходы на организацию бесплатного питания обучающихся из многодетных семей в муниципальных образовательных организациях(Закупка товаров, работ и услуг для государственных (муниципальных) нужд)</t>
  </si>
  <si>
    <t>Расходы на организацию бесплатного питания обучающихся из многодетных семей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</si>
  <si>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Подготовка молодежи к службе в ВС РФ</t>
  </si>
  <si>
    <t>Подготовка молодежи к службе в ВС РФ(Закупка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</si>
  <si>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</si>
  <si>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 (Закупка товаров, работ и услуг для государственных (муниципальных) нужд)</t>
  </si>
  <si>
    <t>Условно утвержденные расходы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</si>
  <si>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</si>
  <si>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</si>
  <si>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</si>
  <si>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(Закупка товаров, работ и услуг для государственных (муниципальных) нужд)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</si>
  <si>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(Закупка товаров, работ и услуг для государственных (муниципальных) нужд)</t>
  </si>
  <si>
    <t>Расходы на обеспечение мероприятий по формированию экологической культуры раздельного накопления твердых коммунальных отходов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</si>
  <si>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 (Закупка товаров, работ и услуг для государственных (муниципальных) нужд)</t>
  </si>
  <si>
    <t xml:space="preserve">Приложение 4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      от "27   " декабря 2024 г.  </t>
  </si>
  <si>
    <t>0130270100</t>
  </si>
  <si>
    <t>0530170100</t>
  </si>
  <si>
    <t>0130370100</t>
  </si>
  <si>
    <t>0800370100</t>
  </si>
  <si>
    <t>0640270100</t>
  </si>
  <si>
    <t>0220170100</t>
  </si>
  <si>
    <t>0230170100</t>
  </si>
  <si>
    <t>0230270100</t>
  </si>
  <si>
    <t>0250270100</t>
  </si>
  <si>
    <t>0510370100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</si>
  <si>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</si>
  <si>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</si>
  <si>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</si>
  <si>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области"(Межбюджетные трансферты)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</si>
  <si>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</si>
  <si>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 xml:space="preserve">Расходы на проведение социально значимых мероприятий </t>
  </si>
  <si>
    <t>Расходы на проведение социально значимых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</si>
  <si>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</si>
  <si>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"(Предоставление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</si>
  <si>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</si>
  <si>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Расходы на проведение социально значимых мероприятий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</si>
  <si>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</t>
  </si>
  <si>
    <t>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 (Закупка товаров, работ и услуг для государственных (муниципальных) нужд)</t>
  </si>
  <si>
    <t>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 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</si>
  <si>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</si>
  <si>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</si>
  <si>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</si>
  <si>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</si>
  <si>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</si>
  <si>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</si>
  <si>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</si>
  <si>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 (Предоставление субсидий бюджетным, автономным учреждениям и иным некоммерческим организациям)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</si>
  <si>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</si>
  <si>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(Иные бюджетные ассигнования)</t>
  </si>
  <si>
    <t xml:space="preserve"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</si>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</sst>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0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4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5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2" fillId="0" borderId="11">
      <alignment horizontal="center" vertical="center" wrapText="1"/>
    </xf>
    <xf numFmtId="0" fontId="3" fillId="2" borderId="12">
      <alignment horizontal="left" vertical="top" wrapText="1"/>
    </xf>
    <xf numFmtId="49" fontId="3" fillId="2" borderId="13">
      <alignment horizontal="center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2" fillId="3" borderId="15">
      <alignment horizontal="left" vertical="top" wrapText="1"/>
    </xf>
    <xf numFmtId="49" fontId="2" fillId="3" borderId="16">
      <alignment horizontal="center" vertical="top" shrinkToFit="1"/>
    </xf>
    <xf numFmtId="164" fontId="2" fillId="3" borderId="16">
      <alignment horizontal="right" vertical="top" shrinkToFit="1"/>
    </xf>
    <xf numFmtId="164" fontId="2" fillId="3" borderId="17">
      <alignment horizontal="right" vertical="top" shrinkToFit="1"/>
    </xf>
    <xf numFmtId="0" fontId="2" fillId="4" borderId="18">
      <alignment horizontal="left" vertical="top" wrapText="1"/>
    </xf>
    <xf numFmtId="49" fontId="2" fillId="4" borderId="19">
      <alignment horizontal="center" vertical="top" shrinkToFit="1"/>
    </xf>
    <xf numFmtId="164" fontId="2" fillId="4" borderId="19">
      <alignment horizontal="right" vertical="top" shrinkToFit="1"/>
    </xf>
    <xf numFmtId="164" fontId="2" fillId="4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1" fillId="0" borderId="19">
      <alignment horizontal="right" vertical="top" shrinkToFit="1"/>
    </xf>
    <xf numFmtId="164" fontId="5" fillId="0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3" fillId="5" borderId="25">
      <alignment horizontal="right" shrinkToFit="1"/>
    </xf>
    <xf numFmtId="164" fontId="3" fillId="5" borderId="26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5">
      <alignment horizontal="right" shrinkToFit="1"/>
    </xf>
    <xf numFmtId="4" fontId="3" fillId="5" borderId="26">
      <alignment horizontal="right" shrinkToFit="1"/>
    </xf>
    <xf numFmtId="4" fontId="3" fillId="2" borderId="13">
      <alignment horizontal="right" vertical="top" shrinkToFit="1"/>
    </xf>
    <xf numFmtId="4" fontId="3" fillId="2" borderId="14">
      <alignment horizontal="right" vertical="top" shrinkToFit="1"/>
    </xf>
    <xf numFmtId="4" fontId="2" fillId="3" borderId="16">
      <alignment horizontal="right" vertical="top" shrinkToFit="1"/>
    </xf>
    <xf numFmtId="4" fontId="2" fillId="3" borderId="17">
      <alignment horizontal="right" vertical="top" shrinkToFit="1"/>
    </xf>
    <xf numFmtId="4" fontId="2" fillId="4" borderId="19">
      <alignment horizontal="right" vertical="top" shrinkToFit="1"/>
    </xf>
    <xf numFmtId="4" fontId="2" fillId="4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1" fillId="0" borderId="21"/>
    <xf numFmtId="0" fontId="1" fillId="0" borderId="22"/>
    <xf numFmtId="0" fontId="1" fillId="0" borderId="23"/>
    <xf numFmtId="0" fontId="3" fillId="5" borderId="24"/>
    <xf numFmtId="0" fontId="3" fillId="5" borderId="25"/>
    <xf numFmtId="164" fontId="3" fillId="5" borderId="25">
      <alignment horizontal="right" shrinkToFit="1"/>
    </xf>
    <xf numFmtId="164" fontId="3" fillId="5" borderId="26">
      <alignment horizontal="right" shrinkToFit="1"/>
    </xf>
  </cellStyleXfs>
  <cellXfs count="95">
    <xf numFmtId="0" fontId="0" fillId="0" borderId="0" xfId="0"/>
    <xf numFmtId="0" fontId="0" fillId="0" borderId="0" xfId="0" applyProtection="1">
      <protection locked="0"/>
    </xf>
    <xf numFmtId="49" fontId="2" fillId="0" borderId="27" xfId="7" applyNumberFormat="1" applyBorder="1" applyProtection="1">
      <alignment horizontal="center" vertical="center" wrapText="1"/>
    </xf>
    <xf numFmtId="49" fontId="2" fillId="0" borderId="28" xfId="8" applyNumberFormat="1" applyBorder="1" applyProtection="1">
      <alignment horizontal="center" vertical="center" wrapText="1"/>
    </xf>
    <xf numFmtId="49" fontId="2" fillId="0" borderId="29" xfId="9" applyNumberFormat="1" applyBorder="1" applyProtection="1">
      <alignment horizontal="center" vertical="center" wrapText="1"/>
    </xf>
    <xf numFmtId="49" fontId="7" fillId="0" borderId="7" xfId="5" applyNumberFormat="1" applyFont="1" applyProtection="1">
      <alignment horizontal="center" vertical="center" wrapText="1"/>
    </xf>
    <xf numFmtId="0" fontId="0" fillId="0" borderId="1" xfId="0" applyBorder="1" applyProtection="1">
      <protection locked="0"/>
    </xf>
    <xf numFmtId="49" fontId="2" fillId="0" borderId="7" xfId="5" applyNumberFormat="1" applyFont="1" applyProtection="1">
      <alignment horizontal="center" vertical="center" wrapText="1"/>
    </xf>
    <xf numFmtId="49" fontId="2" fillId="0" borderId="8" xfId="6" applyNumberFormat="1" applyFont="1" applyProtection="1">
      <alignment horizontal="center" vertical="center" wrapText="1"/>
    </xf>
    <xf numFmtId="164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0" fontId="11" fillId="6" borderId="30" xfId="10" applyNumberFormat="1" applyFont="1" applyFill="1" applyBorder="1" applyProtection="1">
      <alignment horizontal="left" vertical="top" wrapText="1"/>
    </xf>
    <xf numFmtId="49" fontId="11" fillId="6" borderId="30" xfId="11" applyNumberFormat="1" applyFont="1" applyFill="1" applyBorder="1" applyProtection="1">
      <alignment horizontal="center" vertical="top" shrinkToFit="1"/>
    </xf>
    <xf numFmtId="164" fontId="14" fillId="6" borderId="30" xfId="59" applyNumberFormat="1" applyFont="1" applyFill="1" applyBorder="1" applyProtection="1">
      <alignment horizontal="right" vertical="top" shrinkToFit="1"/>
    </xf>
    <xf numFmtId="164" fontId="11" fillId="6" borderId="30" xfId="59" applyNumberFormat="1" applyFont="1" applyFill="1" applyBorder="1" applyProtection="1">
      <alignment horizontal="right" vertical="top" shrinkToFit="1"/>
    </xf>
    <xf numFmtId="164" fontId="17" fillId="6" borderId="30" xfId="59" applyNumberFormat="1" applyFont="1" applyFill="1" applyBorder="1" applyProtection="1">
      <alignment horizontal="right" vertical="top" shrinkToFit="1"/>
    </xf>
    <xf numFmtId="164" fontId="17" fillId="6" borderId="30" xfId="60" applyNumberFormat="1" applyFont="1" applyFill="1" applyBorder="1" applyProtection="1">
      <alignment horizontal="right" vertical="top" shrinkToFit="1"/>
    </xf>
    <xf numFmtId="0" fontId="12" fillId="6" borderId="30" xfId="14" applyNumberFormat="1" applyFont="1" applyFill="1" applyBorder="1" applyProtection="1">
      <alignment horizontal="left" vertical="top" wrapText="1"/>
    </xf>
    <xf numFmtId="49" fontId="12" fillId="6" borderId="30" xfId="15" applyNumberFormat="1" applyFont="1" applyFill="1" applyBorder="1" applyProtection="1">
      <alignment horizontal="center" vertical="top" shrinkToFit="1"/>
    </xf>
    <xf numFmtId="164" fontId="15" fillId="6" borderId="30" xfId="34" applyNumberFormat="1" applyFont="1" applyFill="1" applyBorder="1" applyAlignment="1" applyProtection="1">
      <alignment horizontal="right" vertical="top" shrinkToFit="1"/>
    </xf>
    <xf numFmtId="164" fontId="18" fillId="6" borderId="30" xfId="34" applyNumberFormat="1" applyFont="1" applyFill="1" applyBorder="1" applyAlignment="1" applyProtection="1">
      <alignment horizontal="right" vertical="top" shrinkToFit="1"/>
    </xf>
    <xf numFmtId="164" fontId="18" fillId="6" borderId="30" xfId="35" applyNumberFormat="1" applyFont="1" applyFill="1" applyBorder="1" applyAlignment="1" applyProtection="1">
      <alignment horizontal="right" vertical="top" shrinkToFit="1"/>
    </xf>
    <xf numFmtId="0" fontId="12" fillId="6" borderId="30" xfId="18" applyNumberFormat="1" applyFont="1" applyFill="1" applyBorder="1" applyProtection="1">
      <alignment horizontal="left" vertical="top" wrapText="1"/>
    </xf>
    <xf numFmtId="49" fontId="12" fillId="6" borderId="30" xfId="19" applyNumberFormat="1" applyFont="1" applyFill="1" applyBorder="1" applyProtection="1">
      <alignment horizontal="center" vertical="top" shrinkToFit="1"/>
    </xf>
    <xf numFmtId="164" fontId="15" fillId="6" borderId="30" xfId="12" applyNumberFormat="1" applyFont="1" applyFill="1" applyBorder="1" applyProtection="1">
      <alignment horizontal="right" vertical="top" shrinkToFit="1"/>
    </xf>
    <xf numFmtId="164" fontId="18" fillId="6" borderId="30" xfId="12" applyNumberFormat="1" applyFont="1" applyFill="1" applyBorder="1" applyProtection="1">
      <alignment horizontal="right" vertical="top" shrinkToFit="1"/>
    </xf>
    <xf numFmtId="164" fontId="18" fillId="6" borderId="30" xfId="13" applyNumberFormat="1" applyFont="1" applyFill="1" applyBorder="1" applyProtection="1">
      <alignment horizontal="right" vertical="top" shrinkToFit="1"/>
    </xf>
    <xf numFmtId="0" fontId="4" fillId="6" borderId="30" xfId="22" applyNumberFormat="1" applyFill="1" applyBorder="1" applyProtection="1">
      <alignment horizontal="left" vertical="top" wrapText="1"/>
    </xf>
    <xf numFmtId="49" fontId="13" fillId="6" borderId="30" xfId="23" applyNumberFormat="1" applyFont="1" applyFill="1" applyBorder="1" applyProtection="1">
      <alignment horizontal="center" vertical="top" shrinkToFit="1"/>
    </xf>
    <xf numFmtId="164" fontId="16" fillId="6" borderId="30" xfId="16" applyNumberFormat="1" applyFont="1" applyFill="1" applyBorder="1" applyProtection="1">
      <alignment horizontal="right" vertical="top" shrinkToFit="1"/>
    </xf>
    <xf numFmtId="164" fontId="19" fillId="6" borderId="30" xfId="16" applyNumberFormat="1" applyFont="1" applyFill="1" applyBorder="1" applyProtection="1">
      <alignment horizontal="right" vertical="top" shrinkToFit="1"/>
    </xf>
    <xf numFmtId="164" fontId="19" fillId="6" borderId="30" xfId="17" applyNumberFormat="1" applyFont="1" applyFill="1" applyBorder="1" applyProtection="1">
      <alignment horizontal="right" vertical="top" shrinkToFit="1"/>
    </xf>
    <xf numFmtId="0" fontId="4" fillId="6" borderId="30" xfId="26" applyNumberFormat="1" applyFill="1" applyBorder="1" applyProtection="1">
      <alignment horizontal="left" vertical="top" wrapText="1"/>
    </xf>
    <xf numFmtId="49" fontId="13" fillId="6" borderId="30" xfId="27" applyNumberFormat="1" applyFont="1" applyFill="1" applyBorder="1" applyProtection="1">
      <alignment horizontal="center" vertical="top" shrinkToFit="1"/>
    </xf>
    <xf numFmtId="0" fontId="4" fillId="6" borderId="30" xfId="28" applyNumberFormat="1" applyFill="1" applyBorder="1" applyProtection="1">
      <alignment horizontal="left" vertical="top" wrapText="1"/>
    </xf>
    <xf numFmtId="49" fontId="16" fillId="6" borderId="30" xfId="29" applyNumberFormat="1" applyFont="1" applyFill="1" applyBorder="1" applyProtection="1">
      <alignment horizontal="center" vertical="top" shrinkToFit="1"/>
    </xf>
    <xf numFmtId="0" fontId="4" fillId="6" borderId="30" xfId="30" applyNumberFormat="1" applyFill="1" applyBorder="1" applyProtection="1">
      <alignment horizontal="left" vertical="top" wrapText="1"/>
    </xf>
    <xf numFmtId="49" fontId="16" fillId="6" borderId="30" xfId="31" applyNumberFormat="1" applyFont="1" applyFill="1" applyBorder="1" applyProtection="1">
      <alignment horizontal="center" vertical="top" shrinkToFit="1"/>
    </xf>
    <xf numFmtId="49" fontId="13" fillId="6" borderId="30" xfId="29" applyNumberFormat="1" applyFont="1" applyFill="1" applyBorder="1" applyProtection="1">
      <alignment horizontal="center" vertical="top" shrinkToFit="1"/>
    </xf>
    <xf numFmtId="49" fontId="13" fillId="6" borderId="30" xfId="31" applyNumberFormat="1" applyFont="1" applyFill="1" applyBorder="1" applyProtection="1">
      <alignment horizontal="center" vertical="top" shrinkToFit="1"/>
    </xf>
    <xf numFmtId="164" fontId="1" fillId="6" borderId="30" xfId="16" applyNumberFormat="1" applyFont="1" applyFill="1" applyBorder="1" applyProtection="1">
      <alignment horizontal="right" vertical="top" shrinkToFit="1"/>
    </xf>
    <xf numFmtId="164" fontId="2" fillId="6" borderId="30" xfId="12" applyNumberFormat="1" applyFont="1" applyFill="1" applyBorder="1" applyProtection="1">
      <alignment horizontal="right" vertical="top" shrinkToFit="1"/>
    </xf>
    <xf numFmtId="49" fontId="19" fillId="6" borderId="30" xfId="29" applyNumberFormat="1" applyFont="1" applyFill="1" applyBorder="1" applyProtection="1">
      <alignment horizontal="center" vertical="top" shrinkToFit="1"/>
    </xf>
    <xf numFmtId="49" fontId="19" fillId="6" borderId="30" xfId="31" applyNumberFormat="1" applyFont="1" applyFill="1" applyBorder="1" applyProtection="1">
      <alignment horizontal="center" vertical="top" shrinkToFit="1"/>
    </xf>
    <xf numFmtId="0" fontId="15" fillId="6" borderId="30" xfId="14" applyNumberFormat="1" applyFont="1" applyFill="1" applyBorder="1" applyProtection="1">
      <alignment horizontal="left" vertical="top" wrapText="1"/>
    </xf>
    <xf numFmtId="49" fontId="15" fillId="6" borderId="30" xfId="15" applyNumberFormat="1" applyFont="1" applyFill="1" applyBorder="1" applyProtection="1">
      <alignment horizontal="center" vertical="top" shrinkToFit="1"/>
    </xf>
    <xf numFmtId="0" fontId="15" fillId="6" borderId="30" xfId="18" applyNumberFormat="1" applyFont="1" applyFill="1" applyBorder="1" applyProtection="1">
      <alignment horizontal="left" vertical="top" wrapText="1"/>
    </xf>
    <xf numFmtId="49" fontId="15" fillId="6" borderId="30" xfId="19" applyNumberFormat="1" applyFont="1" applyFill="1" applyBorder="1" applyProtection="1">
      <alignment horizontal="center" vertical="top" shrinkToFit="1"/>
    </xf>
    <xf numFmtId="49" fontId="16" fillId="6" borderId="30" xfId="23" applyNumberFormat="1" applyFont="1" applyFill="1" applyBorder="1" applyProtection="1">
      <alignment horizontal="center" vertical="top" shrinkToFit="1"/>
    </xf>
    <xf numFmtId="49" fontId="16" fillId="6" borderId="30" xfId="27" applyNumberFormat="1" applyFont="1" applyFill="1" applyBorder="1" applyProtection="1">
      <alignment horizontal="center" vertical="top" shrinkToFit="1"/>
    </xf>
    <xf numFmtId="0" fontId="4" fillId="6" borderId="30" xfId="22" quotePrefix="1" applyNumberFormat="1" applyFill="1" applyBorder="1" applyProtection="1">
      <alignment horizontal="left" vertical="top" wrapText="1"/>
    </xf>
    <xf numFmtId="49" fontId="1" fillId="6" borderId="30" xfId="23" applyNumberFormat="1" applyFill="1" applyBorder="1" applyProtection="1">
      <alignment horizontal="center" vertical="top" shrinkToFit="1"/>
    </xf>
    <xf numFmtId="0" fontId="4" fillId="6" borderId="30" xfId="26" quotePrefix="1" applyNumberFormat="1" applyFill="1" applyBorder="1" applyProtection="1">
      <alignment horizontal="left" vertical="top" wrapText="1"/>
    </xf>
    <xf numFmtId="49" fontId="1" fillId="6" borderId="30" xfId="27" applyNumberFormat="1" applyFill="1" applyBorder="1" applyProtection="1">
      <alignment horizontal="center" vertical="top" shrinkToFit="1"/>
    </xf>
    <xf numFmtId="0" fontId="4" fillId="6" borderId="30" xfId="28" quotePrefix="1" applyNumberFormat="1" applyFill="1" applyBorder="1" applyProtection="1">
      <alignment horizontal="left" vertical="top" wrapText="1"/>
    </xf>
    <xf numFmtId="49" fontId="1" fillId="6" borderId="30" xfId="29" applyNumberFormat="1" applyFill="1" applyBorder="1" applyProtection="1">
      <alignment horizontal="center" vertical="top" shrinkToFit="1"/>
    </xf>
    <xf numFmtId="0" fontId="4" fillId="6" borderId="30" xfId="30" quotePrefix="1" applyNumberFormat="1" applyFill="1" applyBorder="1" applyProtection="1">
      <alignment horizontal="left" vertical="top" wrapText="1"/>
    </xf>
    <xf numFmtId="49" fontId="1" fillId="6" borderId="30" xfId="31" applyNumberFormat="1" applyFill="1" applyBorder="1" applyProtection="1">
      <alignment horizontal="center" vertical="top" shrinkToFit="1"/>
    </xf>
    <xf numFmtId="49" fontId="1" fillId="6" borderId="30" xfId="27" applyNumberFormat="1" applyFont="1" applyFill="1" applyBorder="1" applyProtection="1">
      <alignment horizontal="center" vertical="top" shrinkToFit="1"/>
    </xf>
    <xf numFmtId="0" fontId="18" fillId="6" borderId="30" xfId="14" applyNumberFormat="1" applyFont="1" applyFill="1" applyBorder="1" applyProtection="1">
      <alignment horizontal="left" vertical="top" wrapText="1"/>
    </xf>
    <xf numFmtId="49" fontId="18" fillId="6" borderId="30" xfId="15" applyNumberFormat="1" applyFont="1" applyFill="1" applyBorder="1" applyProtection="1">
      <alignment horizontal="center" vertical="top" shrinkToFit="1"/>
    </xf>
    <xf numFmtId="0" fontId="18" fillId="6" borderId="30" xfId="18" applyNumberFormat="1" applyFont="1" applyFill="1" applyBorder="1" applyProtection="1">
      <alignment horizontal="left" vertical="top" wrapText="1"/>
    </xf>
    <xf numFmtId="49" fontId="18" fillId="6" borderId="30" xfId="19" applyNumberFormat="1" applyFont="1" applyFill="1" applyBorder="1" applyProtection="1">
      <alignment horizontal="center" vertical="top" shrinkToFit="1"/>
    </xf>
    <xf numFmtId="49" fontId="19" fillId="6" borderId="30" xfId="27" applyNumberFormat="1" applyFont="1" applyFill="1" applyBorder="1" applyProtection="1">
      <alignment horizontal="center" vertical="top" shrinkToFit="1"/>
    </xf>
    <xf numFmtId="49" fontId="19" fillId="6" borderId="30" xfId="23" applyNumberFormat="1" applyFont="1" applyFill="1" applyBorder="1" applyProtection="1">
      <alignment horizontal="center" vertical="top" shrinkToFit="1"/>
    </xf>
    <xf numFmtId="49" fontId="1" fillId="6" borderId="30" xfId="31" applyNumberFormat="1" applyFont="1" applyFill="1" applyBorder="1" applyProtection="1">
      <alignment horizontal="center" vertical="top" shrinkToFit="1"/>
    </xf>
    <xf numFmtId="49" fontId="1" fillId="6" borderId="30" xfId="29" applyNumberFormat="1" applyFont="1" applyFill="1" applyBorder="1" applyProtection="1">
      <alignment horizontal="center" vertical="top" shrinkToFit="1"/>
    </xf>
    <xf numFmtId="0" fontId="4" fillId="6" borderId="30" xfId="32" applyNumberFormat="1" applyFill="1" applyBorder="1" applyProtection="1">
      <alignment horizontal="left" vertical="top" wrapText="1"/>
    </xf>
    <xf numFmtId="49" fontId="1" fillId="6" borderId="30" xfId="33" applyNumberFormat="1" applyFont="1" applyFill="1" applyBorder="1" applyProtection="1">
      <alignment horizontal="center" vertical="top" shrinkToFit="1"/>
    </xf>
    <xf numFmtId="164" fontId="3" fillId="6" borderId="30" xfId="59" applyNumberFormat="1" applyFont="1" applyFill="1" applyBorder="1" applyProtection="1">
      <alignment horizontal="right" vertical="top" shrinkToFit="1"/>
    </xf>
    <xf numFmtId="0" fontId="1" fillId="6" borderId="30" xfId="61" applyNumberFormat="1" applyFont="1" applyFill="1" applyBorder="1" applyProtection="1"/>
    <xf numFmtId="0" fontId="13" fillId="6" borderId="30" xfId="62" applyNumberFormat="1" applyFont="1" applyFill="1" applyBorder="1" applyProtection="1"/>
    <xf numFmtId="0" fontId="16" fillId="6" borderId="30" xfId="62" applyNumberFormat="1" applyFont="1" applyFill="1" applyBorder="1" applyProtection="1"/>
    <xf numFmtId="0" fontId="13" fillId="6" borderId="30" xfId="63" applyNumberFormat="1" applyFont="1" applyFill="1" applyBorder="1" applyProtection="1"/>
    <xf numFmtId="0" fontId="11" fillId="6" borderId="30" xfId="64" applyNumberFormat="1" applyFont="1" applyFill="1" applyBorder="1" applyProtection="1"/>
    <xf numFmtId="0" fontId="11" fillId="6" borderId="30" xfId="65" applyNumberFormat="1" applyFont="1" applyFill="1" applyBorder="1" applyProtection="1"/>
    <xf numFmtId="164" fontId="2" fillId="6" borderId="30" xfId="66" applyNumberFormat="1" applyFont="1" applyFill="1" applyBorder="1" applyProtection="1">
      <alignment horizontal="right" shrinkToFit="1"/>
    </xf>
    <xf numFmtId="164" fontId="2" fillId="6" borderId="30" xfId="67" applyNumberFormat="1" applyFont="1" applyFill="1" applyBorder="1" applyProtection="1">
      <alignment horizontal="right" shrinkToFit="1"/>
    </xf>
    <xf numFmtId="0" fontId="4" fillId="0" borderId="18" xfId="28" applyNumberFormat="1" applyProtection="1">
      <alignment horizontal="left" vertical="top" wrapText="1"/>
    </xf>
    <xf numFmtId="0" fontId="4" fillId="0" borderId="18" xfId="30" applyNumberFormat="1" applyProtection="1">
      <alignment horizontal="left" vertical="top" wrapText="1"/>
    </xf>
    <xf numFmtId="0" fontId="0" fillId="0" borderId="1" xfId="0" applyFill="1" applyBorder="1" applyAlignment="1" applyProtection="1">
      <alignment horizontal="center" wrapText="1"/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2" fillId="0" borderId="2" xfId="2" applyNumberFormat="1" applyProtection="1">
      <alignment horizontal="center" vertical="center" wrapText="1"/>
    </xf>
    <xf numFmtId="49" fontId="2" fillId="0" borderId="2" xfId="2">
      <alignment horizontal="center" vertical="center" wrapText="1"/>
    </xf>
    <xf numFmtId="49" fontId="2" fillId="0" borderId="3" xfId="3" applyNumberFormat="1" applyProtection="1">
      <alignment horizontal="center" vertical="center" wrapText="1"/>
    </xf>
    <xf numFmtId="49" fontId="2" fillId="0" borderId="3" xfId="3">
      <alignment horizontal="center" vertical="center" wrapText="1"/>
    </xf>
    <xf numFmtId="49" fontId="2" fillId="0" borderId="5" xfId="4" applyNumberFormat="1" applyProtection="1">
      <alignment horizontal="center" vertical="center" wrapText="1"/>
    </xf>
    <xf numFmtId="49" fontId="2" fillId="0" borderId="5" xfId="4">
      <alignment horizontal="center" vertical="center" wrapText="1"/>
    </xf>
    <xf numFmtId="49" fontId="2" fillId="0" borderId="4" xfId="3" applyNumberFormat="1" applyBorder="1" applyProtection="1">
      <alignment horizontal="center" vertical="center" wrapText="1"/>
    </xf>
    <xf numFmtId="49" fontId="2" fillId="0" borderId="6" xfId="3" applyNumberFormat="1" applyBorder="1" applyProtection="1">
      <alignment horizontal="center" vertical="center" wrapText="1"/>
    </xf>
  </cellXfs>
  <cellStyles count="68">
    <cellStyle name="br" xfId="38"/>
    <cellStyle name="col" xfId="37"/>
    <cellStyle name="ex58" xfId="41"/>
    <cellStyle name="ex59" xfId="42"/>
    <cellStyle name="ex60" xfId="10"/>
    <cellStyle name="ex61" xfId="11"/>
    <cellStyle name="ex62" xfId="43"/>
    <cellStyle name="ex63" xfId="44"/>
    <cellStyle name="ex64" xfId="14"/>
    <cellStyle name="ex65" xfId="15"/>
    <cellStyle name="ex66" xfId="45"/>
    <cellStyle name="ex67" xfId="46"/>
    <cellStyle name="ex68" xfId="18"/>
    <cellStyle name="ex69" xfId="19"/>
    <cellStyle name="ex70" xfId="47"/>
    <cellStyle name="ex71" xfId="48"/>
    <cellStyle name="ex72" xfId="22"/>
    <cellStyle name="ex73" xfId="23"/>
    <cellStyle name="ex74" xfId="49"/>
    <cellStyle name="ex75" xfId="50"/>
    <cellStyle name="ex76" xfId="26"/>
    <cellStyle name="ex77" xfId="27"/>
    <cellStyle name="ex78" xfId="51"/>
    <cellStyle name="ex79" xfId="52"/>
    <cellStyle name="ex80" xfId="28"/>
    <cellStyle name="ex81" xfId="29"/>
    <cellStyle name="ex82" xfId="53"/>
    <cellStyle name="ex83" xfId="54"/>
    <cellStyle name="ex84" xfId="30"/>
    <cellStyle name="ex85" xfId="31"/>
    <cellStyle name="ex86" xfId="55"/>
    <cellStyle name="ex87" xfId="56"/>
    <cellStyle name="ex88" xfId="32"/>
    <cellStyle name="ex89" xfId="33"/>
    <cellStyle name="ex90" xfId="57"/>
    <cellStyle name="ex91" xfId="58"/>
    <cellStyle name="st100" xfId="24"/>
    <cellStyle name="st101" xfId="25"/>
    <cellStyle name="st57" xfId="1"/>
    <cellStyle name="st88" xfId="66"/>
    <cellStyle name="st89" xfId="67"/>
    <cellStyle name="st90" xfId="59"/>
    <cellStyle name="st91" xfId="60"/>
    <cellStyle name="st92" xfId="34"/>
    <cellStyle name="st93" xfId="35"/>
    <cellStyle name="st94" xfId="12"/>
    <cellStyle name="st95" xfId="13"/>
    <cellStyle name="st96" xfId="16"/>
    <cellStyle name="st97" xfId="17"/>
    <cellStyle name="st98" xfId="20"/>
    <cellStyle name="st99" xfId="21"/>
    <cellStyle name="style0" xfId="39"/>
    <cellStyle name="td" xfId="40"/>
    <cellStyle name="tr" xfId="36"/>
    <cellStyle name="xl_bot_header" xfId="8"/>
    <cellStyle name="xl_bot_left_header" xfId="7"/>
    <cellStyle name="xl_bot_right_header" xfId="9"/>
    <cellStyle name="xl_center_header" xfId="5"/>
    <cellStyle name="xl_right_header" xfId="6"/>
    <cellStyle name="xl_top_header" xfId="3"/>
    <cellStyle name="xl_top_left_header" xfId="2"/>
    <cellStyle name="xl_top_right_header" xfId="4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87"/>
  <sheetViews>
    <sheetView showGridLines="0" tabSelected="1" zoomScale="87" zoomScaleNormal="87" workbookViewId="0">
      <pane ySplit="6" topLeftCell="A7" activePane="bottomLeft" state="frozen"/>
      <selection pane="bottomLeft" activeCell="I575" sqref="I575:J575"/>
    </sheetView>
  </sheetViews>
  <sheetFormatPr defaultRowHeight="15"/>
  <cols>
    <col min="1" max="1" width="57.42578125" style="1" customWidth="1"/>
    <col min="2" max="3" width="7.5703125" style="1" customWidth="1"/>
    <col min="4" max="4" width="11.28515625" style="1" customWidth="1"/>
    <col min="5" max="5" width="6.7109375" style="1" customWidth="1"/>
    <col min="6" max="6" width="11.7109375" style="1" customWidth="1"/>
    <col min="7" max="7" width="10.85546875" style="1" customWidth="1"/>
    <col min="8" max="8" width="12.28515625" style="1" customWidth="1"/>
    <col min="9" max="9" width="12.140625" style="1" customWidth="1"/>
    <col min="10" max="10" width="12.28515625" style="1" customWidth="1"/>
    <col min="11" max="16384" width="9.140625" style="1"/>
  </cols>
  <sheetData>
    <row r="1" spans="1:10" ht="142.5" customHeight="1">
      <c r="A1" s="6"/>
      <c r="B1" s="6"/>
      <c r="C1" s="6"/>
      <c r="D1" s="6"/>
      <c r="E1" s="6"/>
      <c r="F1" s="6"/>
      <c r="G1" s="6"/>
      <c r="H1" s="81" t="s">
        <v>687</v>
      </c>
      <c r="I1" s="82"/>
      <c r="J1" s="82"/>
    </row>
    <row r="2" spans="1:10" ht="58.5" customHeight="1">
      <c r="A2" s="83" t="s">
        <v>394</v>
      </c>
      <c r="B2" s="83"/>
      <c r="C2" s="83"/>
      <c r="D2" s="83"/>
      <c r="E2" s="83"/>
      <c r="F2" s="83"/>
      <c r="G2" s="84"/>
      <c r="H2" s="84"/>
      <c r="I2" s="84"/>
      <c r="J2" s="84"/>
    </row>
    <row r="3" spans="1:10" ht="15.2" customHeight="1">
      <c r="A3" s="85" t="s">
        <v>0</v>
      </c>
      <c r="B3" s="86"/>
      <c r="C3" s="86"/>
      <c r="D3" s="86"/>
      <c r="E3" s="86"/>
      <c r="F3" s="86"/>
      <c r="G3" s="86"/>
      <c r="H3" s="86"/>
      <c r="I3" s="86"/>
      <c r="J3" s="86"/>
    </row>
    <row r="4" spans="1:10" ht="15.2" customHeight="1">
      <c r="A4" s="87" t="s">
        <v>1</v>
      </c>
      <c r="B4" s="89" t="s">
        <v>2</v>
      </c>
      <c r="C4" s="89" t="s">
        <v>3</v>
      </c>
      <c r="D4" s="93" t="s">
        <v>4</v>
      </c>
      <c r="E4" s="89" t="s">
        <v>5</v>
      </c>
      <c r="F4" s="89" t="s">
        <v>6</v>
      </c>
      <c r="G4" s="89"/>
      <c r="H4" s="90"/>
      <c r="I4" s="91"/>
      <c r="J4" s="92"/>
    </row>
    <row r="5" spans="1:10" ht="38.25">
      <c r="A5" s="88"/>
      <c r="B5" s="90"/>
      <c r="C5" s="90"/>
      <c r="D5" s="94"/>
      <c r="E5" s="90"/>
      <c r="F5" s="7" t="s">
        <v>383</v>
      </c>
      <c r="G5" s="5" t="s">
        <v>385</v>
      </c>
      <c r="H5" s="7" t="s">
        <v>395</v>
      </c>
      <c r="I5" s="7" t="s">
        <v>384</v>
      </c>
      <c r="J5" s="8" t="s">
        <v>396</v>
      </c>
    </row>
    <row r="6" spans="1:10">
      <c r="A6" s="2" t="s">
        <v>7</v>
      </c>
      <c r="B6" s="3" t="s">
        <v>8</v>
      </c>
      <c r="C6" s="3" t="s">
        <v>9</v>
      </c>
      <c r="D6" s="3" t="s">
        <v>10</v>
      </c>
      <c r="E6" s="3" t="s">
        <v>11</v>
      </c>
      <c r="F6" s="3" t="s">
        <v>12</v>
      </c>
      <c r="G6" s="3"/>
      <c r="H6" s="3" t="s">
        <v>13</v>
      </c>
      <c r="I6" s="3" t="s">
        <v>14</v>
      </c>
      <c r="J6" s="4" t="s">
        <v>15</v>
      </c>
    </row>
    <row r="7" spans="1:10">
      <c r="A7" s="12" t="s">
        <v>16</v>
      </c>
      <c r="B7" s="13" t="s">
        <v>17</v>
      </c>
      <c r="C7" s="13"/>
      <c r="D7" s="13"/>
      <c r="E7" s="13"/>
      <c r="F7" s="14">
        <f>98691.28115+5787.5</f>
        <v>104478.78115</v>
      </c>
      <c r="G7" s="15">
        <f>SUM(H7-F7)</f>
        <v>-1820.3340299999982</v>
      </c>
      <c r="H7" s="16">
        <v>102658.44712</v>
      </c>
      <c r="I7" s="16">
        <v>79874.850000000006</v>
      </c>
      <c r="J7" s="17">
        <v>84282.8</v>
      </c>
    </row>
    <row r="8" spans="1:10" ht="38.25">
      <c r="A8" s="18" t="s">
        <v>18</v>
      </c>
      <c r="B8" s="19" t="s">
        <v>17</v>
      </c>
      <c r="C8" s="19" t="s">
        <v>19</v>
      </c>
      <c r="D8" s="19"/>
      <c r="E8" s="19"/>
      <c r="F8" s="20">
        <f>3184.84216+157</f>
        <v>3341.8421600000001</v>
      </c>
      <c r="G8" s="15">
        <f t="shared" ref="G8:G77" si="0">SUM(H8-F8)</f>
        <v>265.30938999999989</v>
      </c>
      <c r="H8" s="21">
        <v>3607.15155</v>
      </c>
      <c r="I8" s="21">
        <v>2894.7</v>
      </c>
      <c r="J8" s="22">
        <v>3714.5</v>
      </c>
    </row>
    <row r="9" spans="1:10" ht="25.5">
      <c r="A9" s="23" t="s">
        <v>20</v>
      </c>
      <c r="B9" s="24" t="s">
        <v>17</v>
      </c>
      <c r="C9" s="24" t="s">
        <v>19</v>
      </c>
      <c r="D9" s="24" t="s">
        <v>21</v>
      </c>
      <c r="E9" s="24"/>
      <c r="F9" s="25">
        <f>3184.84216+157</f>
        <v>3341.8421600000001</v>
      </c>
      <c r="G9" s="15">
        <f t="shared" si="0"/>
        <v>265.30938999999989</v>
      </c>
      <c r="H9" s="26">
        <v>3607.15155</v>
      </c>
      <c r="I9" s="26">
        <v>2894.7</v>
      </c>
      <c r="J9" s="27">
        <v>3714.5</v>
      </c>
    </row>
    <row r="10" spans="1:10" ht="25.5">
      <c r="A10" s="28" t="s">
        <v>22</v>
      </c>
      <c r="B10" s="29" t="s">
        <v>17</v>
      </c>
      <c r="C10" s="29" t="s">
        <v>19</v>
      </c>
      <c r="D10" s="29" t="s">
        <v>23</v>
      </c>
      <c r="E10" s="29"/>
      <c r="F10" s="30">
        <f>3184.84216+157</f>
        <v>3341.8421600000001</v>
      </c>
      <c r="G10" s="15">
        <f t="shared" si="0"/>
        <v>265.30938999999989</v>
      </c>
      <c r="H10" s="31">
        <v>3607.15155</v>
      </c>
      <c r="I10" s="31">
        <v>2894.7</v>
      </c>
      <c r="J10" s="32">
        <v>3714.5</v>
      </c>
    </row>
    <row r="11" spans="1:10" ht="38.25">
      <c r="A11" s="33" t="s">
        <v>24</v>
      </c>
      <c r="B11" s="34" t="s">
        <v>17</v>
      </c>
      <c r="C11" s="34" t="s">
        <v>19</v>
      </c>
      <c r="D11" s="34" t="s">
        <v>25</v>
      </c>
      <c r="E11" s="34"/>
      <c r="F11" s="30">
        <f>3184.84216+157</f>
        <v>3341.8421600000001</v>
      </c>
      <c r="G11" s="15">
        <f t="shared" si="0"/>
        <v>265.30938999999989</v>
      </c>
      <c r="H11" s="31">
        <v>3607.15155</v>
      </c>
      <c r="I11" s="31">
        <v>2894.7</v>
      </c>
      <c r="J11" s="32">
        <v>3714.5</v>
      </c>
    </row>
    <row r="12" spans="1:10" ht="63.75">
      <c r="A12" s="35" t="s">
        <v>627</v>
      </c>
      <c r="B12" s="36" t="s">
        <v>17</v>
      </c>
      <c r="C12" s="36" t="s">
        <v>19</v>
      </c>
      <c r="D12" s="36" t="s">
        <v>628</v>
      </c>
      <c r="E12" s="36"/>
      <c r="F12" s="30">
        <v>82.542159999999996</v>
      </c>
      <c r="G12" s="15">
        <f t="shared" si="0"/>
        <v>0</v>
      </c>
      <c r="H12" s="31">
        <v>82.542159999999996</v>
      </c>
      <c r="I12" s="31">
        <v>0</v>
      </c>
      <c r="J12" s="32">
        <v>0</v>
      </c>
    </row>
    <row r="13" spans="1:10" ht="114.75">
      <c r="A13" s="37" t="s">
        <v>662</v>
      </c>
      <c r="B13" s="38" t="s">
        <v>17</v>
      </c>
      <c r="C13" s="38" t="s">
        <v>19</v>
      </c>
      <c r="D13" s="38" t="s">
        <v>628</v>
      </c>
      <c r="E13" s="38" t="s">
        <v>28</v>
      </c>
      <c r="F13" s="30">
        <v>82.542159999999996</v>
      </c>
      <c r="G13" s="15">
        <f t="shared" si="0"/>
        <v>0</v>
      </c>
      <c r="H13" s="31">
        <v>82.542159999999996</v>
      </c>
      <c r="I13" s="31">
        <v>0</v>
      </c>
      <c r="J13" s="32">
        <v>0</v>
      </c>
    </row>
    <row r="14" spans="1:10" ht="51">
      <c r="A14" s="35" t="s">
        <v>433</v>
      </c>
      <c r="B14" s="39" t="s">
        <v>17</v>
      </c>
      <c r="C14" s="39" t="s">
        <v>19</v>
      </c>
      <c r="D14" s="39" t="s">
        <v>434</v>
      </c>
      <c r="E14" s="39"/>
      <c r="F14" s="30">
        <f>238.3</f>
        <v>238.3</v>
      </c>
      <c r="G14" s="15">
        <f t="shared" si="0"/>
        <v>289.27754999999996</v>
      </c>
      <c r="H14" s="31">
        <v>527.57754999999997</v>
      </c>
      <c r="I14" s="31">
        <v>0</v>
      </c>
      <c r="J14" s="32">
        <v>0</v>
      </c>
    </row>
    <row r="15" spans="1:10" ht="102">
      <c r="A15" s="37" t="s">
        <v>451</v>
      </c>
      <c r="B15" s="40" t="s">
        <v>17</v>
      </c>
      <c r="C15" s="40" t="s">
        <v>19</v>
      </c>
      <c r="D15" s="40" t="s">
        <v>434</v>
      </c>
      <c r="E15" s="40" t="s">
        <v>28</v>
      </c>
      <c r="F15" s="30">
        <f>238.3</f>
        <v>238.3</v>
      </c>
      <c r="G15" s="15">
        <f t="shared" si="0"/>
        <v>289.27754999999996</v>
      </c>
      <c r="H15" s="31">
        <v>527.57754999999997</v>
      </c>
      <c r="I15" s="31">
        <v>0</v>
      </c>
      <c r="J15" s="32">
        <v>0</v>
      </c>
    </row>
    <row r="16" spans="1:10" ht="63.75">
      <c r="A16" s="35" t="s">
        <v>26</v>
      </c>
      <c r="B16" s="39" t="s">
        <v>17</v>
      </c>
      <c r="C16" s="39" t="s">
        <v>19</v>
      </c>
      <c r="D16" s="39" t="s">
        <v>27</v>
      </c>
      <c r="E16" s="39"/>
      <c r="F16" s="41">
        <f>2864+157</f>
        <v>3021</v>
      </c>
      <c r="G16" s="15">
        <f t="shared" si="0"/>
        <v>-23.968159999999898</v>
      </c>
      <c r="H16" s="31">
        <v>2997.0318400000001</v>
      </c>
      <c r="I16" s="31">
        <v>2894.7</v>
      </c>
      <c r="J16" s="32">
        <v>3714.5</v>
      </c>
    </row>
    <row r="17" spans="1:11" ht="114.75">
      <c r="A17" s="37" t="s">
        <v>452</v>
      </c>
      <c r="B17" s="40" t="s">
        <v>17</v>
      </c>
      <c r="C17" s="40" t="s">
        <v>19</v>
      </c>
      <c r="D17" s="40" t="s">
        <v>27</v>
      </c>
      <c r="E17" s="40" t="s">
        <v>28</v>
      </c>
      <c r="F17" s="30">
        <f>2864+157</f>
        <v>3021</v>
      </c>
      <c r="G17" s="15">
        <f t="shared" si="0"/>
        <v>-23.968159999999898</v>
      </c>
      <c r="H17" s="31">
        <v>2997.0318400000001</v>
      </c>
      <c r="I17" s="31">
        <v>2894.7</v>
      </c>
      <c r="J17" s="32">
        <v>3714.5</v>
      </c>
    </row>
    <row r="18" spans="1:11" ht="51">
      <c r="A18" s="18" t="s">
        <v>29</v>
      </c>
      <c r="B18" s="19" t="s">
        <v>17</v>
      </c>
      <c r="C18" s="19" t="s">
        <v>30</v>
      </c>
      <c r="D18" s="19"/>
      <c r="E18" s="19"/>
      <c r="F18" s="20">
        <f>599+31.5</f>
        <v>630.5</v>
      </c>
      <c r="G18" s="15">
        <f t="shared" si="0"/>
        <v>-505.41363000000001</v>
      </c>
      <c r="H18" s="21">
        <v>125.08637</v>
      </c>
      <c r="I18" s="21">
        <v>577</v>
      </c>
      <c r="J18" s="22">
        <v>582.5</v>
      </c>
    </row>
    <row r="19" spans="1:11" ht="25.5">
      <c r="A19" s="23" t="s">
        <v>20</v>
      </c>
      <c r="B19" s="24" t="s">
        <v>17</v>
      </c>
      <c r="C19" s="24" t="s">
        <v>30</v>
      </c>
      <c r="D19" s="24" t="s">
        <v>21</v>
      </c>
      <c r="E19" s="24"/>
      <c r="F19" s="25">
        <f>599+31.5</f>
        <v>630.5</v>
      </c>
      <c r="G19" s="15">
        <f t="shared" si="0"/>
        <v>-505.41363000000001</v>
      </c>
      <c r="H19" s="26">
        <v>125.08637</v>
      </c>
      <c r="I19" s="26">
        <v>577</v>
      </c>
      <c r="J19" s="27">
        <v>582.5</v>
      </c>
    </row>
    <row r="20" spans="1:11" ht="25.5">
      <c r="A20" s="28" t="s">
        <v>22</v>
      </c>
      <c r="B20" s="29" t="s">
        <v>17</v>
      </c>
      <c r="C20" s="29" t="s">
        <v>30</v>
      </c>
      <c r="D20" s="29" t="s">
        <v>23</v>
      </c>
      <c r="E20" s="29"/>
      <c r="F20" s="30">
        <f>599+31.5</f>
        <v>630.5</v>
      </c>
      <c r="G20" s="15">
        <f t="shared" si="0"/>
        <v>-505.41363000000001</v>
      </c>
      <c r="H20" s="31">
        <v>125.08637</v>
      </c>
      <c r="I20" s="31">
        <v>577</v>
      </c>
      <c r="J20" s="32">
        <v>582.5</v>
      </c>
    </row>
    <row r="21" spans="1:11" ht="63.75">
      <c r="A21" s="33" t="s">
        <v>397</v>
      </c>
      <c r="B21" s="34" t="s">
        <v>17</v>
      </c>
      <c r="C21" s="34" t="s">
        <v>30</v>
      </c>
      <c r="D21" s="34" t="s">
        <v>31</v>
      </c>
      <c r="E21" s="34"/>
      <c r="F21" s="30">
        <f>599+31.5</f>
        <v>630.5</v>
      </c>
      <c r="G21" s="15">
        <f t="shared" si="0"/>
        <v>-505.41363000000001</v>
      </c>
      <c r="H21" s="31">
        <v>125.08637</v>
      </c>
      <c r="I21" s="31">
        <v>577</v>
      </c>
      <c r="J21" s="32">
        <v>582.5</v>
      </c>
    </row>
    <row r="22" spans="1:11" ht="63.75">
      <c r="A22" s="35" t="s">
        <v>32</v>
      </c>
      <c r="B22" s="39" t="s">
        <v>17</v>
      </c>
      <c r="C22" s="39" t="s">
        <v>30</v>
      </c>
      <c r="D22" s="39" t="s">
        <v>33</v>
      </c>
      <c r="E22" s="39"/>
      <c r="F22" s="30">
        <f>599+31.5</f>
        <v>630.5</v>
      </c>
      <c r="G22" s="15">
        <f t="shared" si="0"/>
        <v>-505.41363000000001</v>
      </c>
      <c r="H22" s="31">
        <v>125.08637</v>
      </c>
      <c r="I22" s="31">
        <v>577</v>
      </c>
      <c r="J22" s="32">
        <v>582.5</v>
      </c>
    </row>
    <row r="23" spans="1:11" ht="114.75">
      <c r="A23" s="37" t="s">
        <v>453</v>
      </c>
      <c r="B23" s="40" t="s">
        <v>17</v>
      </c>
      <c r="C23" s="40" t="s">
        <v>30</v>
      </c>
      <c r="D23" s="40" t="s">
        <v>33</v>
      </c>
      <c r="E23" s="40" t="s">
        <v>28</v>
      </c>
      <c r="F23" s="30">
        <f>579+31.5</f>
        <v>610.5</v>
      </c>
      <c r="G23" s="15">
        <f t="shared" si="0"/>
        <v>-485.41363000000001</v>
      </c>
      <c r="H23" s="31">
        <v>125.08637</v>
      </c>
      <c r="I23" s="31">
        <v>557</v>
      </c>
      <c r="J23" s="32">
        <v>562.5</v>
      </c>
    </row>
    <row r="24" spans="1:11" ht="89.25">
      <c r="A24" s="37" t="s">
        <v>475</v>
      </c>
      <c r="B24" s="40" t="s">
        <v>17</v>
      </c>
      <c r="C24" s="40" t="s">
        <v>30</v>
      </c>
      <c r="D24" s="40" t="s">
        <v>33</v>
      </c>
      <c r="E24" s="40" t="s">
        <v>34</v>
      </c>
      <c r="F24" s="30">
        <v>20</v>
      </c>
      <c r="G24" s="15">
        <f t="shared" si="0"/>
        <v>-20</v>
      </c>
      <c r="H24" s="31">
        <v>0</v>
      </c>
      <c r="I24" s="31">
        <v>20</v>
      </c>
      <c r="J24" s="32">
        <v>20</v>
      </c>
    </row>
    <row r="25" spans="1:11" ht="51">
      <c r="A25" s="18" t="s">
        <v>35</v>
      </c>
      <c r="B25" s="19" t="s">
        <v>17</v>
      </c>
      <c r="C25" s="19" t="s">
        <v>36</v>
      </c>
      <c r="D25" s="19"/>
      <c r="E25" s="19"/>
      <c r="F25" s="20">
        <f>34283.20697+1774.6</f>
        <v>36057.806969999998</v>
      </c>
      <c r="G25" s="15">
        <f t="shared" si="0"/>
        <v>2240.6309400000027</v>
      </c>
      <c r="H25" s="21">
        <v>38298.437910000001</v>
      </c>
      <c r="I25" s="21">
        <v>29771.3</v>
      </c>
      <c r="J25" s="22">
        <v>27297.599999999999</v>
      </c>
    </row>
    <row r="26" spans="1:11" ht="25.5">
      <c r="A26" s="23" t="s">
        <v>20</v>
      </c>
      <c r="B26" s="24" t="s">
        <v>17</v>
      </c>
      <c r="C26" s="24" t="s">
        <v>36</v>
      </c>
      <c r="D26" s="24" t="s">
        <v>21</v>
      </c>
      <c r="E26" s="24"/>
      <c r="F26" s="42">
        <f>34283.20697+1774.6</f>
        <v>36057.806969999998</v>
      </c>
      <c r="G26" s="15">
        <f t="shared" si="0"/>
        <v>2240.6309400000027</v>
      </c>
      <c r="H26" s="26">
        <v>38298.437910000001</v>
      </c>
      <c r="I26" s="26">
        <v>29771.3</v>
      </c>
      <c r="J26" s="27">
        <v>27297.599999999999</v>
      </c>
    </row>
    <row r="27" spans="1:11" ht="38.25">
      <c r="A27" s="28" t="s">
        <v>37</v>
      </c>
      <c r="B27" s="29" t="s">
        <v>17</v>
      </c>
      <c r="C27" s="29" t="s">
        <v>36</v>
      </c>
      <c r="D27" s="29" t="s">
        <v>38</v>
      </c>
      <c r="E27" s="29"/>
      <c r="F27" s="30">
        <f>1897+96.8</f>
        <v>1993.8</v>
      </c>
      <c r="G27" s="15">
        <f t="shared" si="0"/>
        <v>0</v>
      </c>
      <c r="H27" s="31">
        <v>1993.8</v>
      </c>
      <c r="I27" s="31">
        <v>0</v>
      </c>
      <c r="J27" s="32">
        <v>0</v>
      </c>
    </row>
    <row r="28" spans="1:11" ht="38.25">
      <c r="A28" s="33" t="s">
        <v>39</v>
      </c>
      <c r="B28" s="34" t="s">
        <v>17</v>
      </c>
      <c r="C28" s="34" t="s">
        <v>36</v>
      </c>
      <c r="D28" s="34" t="s">
        <v>40</v>
      </c>
      <c r="E28" s="34"/>
      <c r="F28" s="30">
        <f>1897+96.8</f>
        <v>1993.8</v>
      </c>
      <c r="G28" s="15">
        <f t="shared" si="0"/>
        <v>0</v>
      </c>
      <c r="H28" s="31">
        <v>1993.8</v>
      </c>
      <c r="I28" s="31">
        <v>0</v>
      </c>
      <c r="J28" s="32">
        <v>0</v>
      </c>
    </row>
    <row r="29" spans="1:11" ht="51">
      <c r="A29" s="35" t="s">
        <v>41</v>
      </c>
      <c r="B29" s="39" t="s">
        <v>17</v>
      </c>
      <c r="C29" s="39" t="s">
        <v>36</v>
      </c>
      <c r="D29" s="39" t="s">
        <v>42</v>
      </c>
      <c r="E29" s="39"/>
      <c r="F29" s="30">
        <f>1254.5+65.4</f>
        <v>1319.9</v>
      </c>
      <c r="G29" s="15">
        <f t="shared" si="0"/>
        <v>0</v>
      </c>
      <c r="H29" s="31">
        <v>1319.9</v>
      </c>
      <c r="I29" s="31">
        <v>0</v>
      </c>
      <c r="J29" s="32">
        <v>0</v>
      </c>
      <c r="K29" s="9" t="e">
        <f>SUM(H29-#REF!)</f>
        <v>#REF!</v>
      </c>
    </row>
    <row r="30" spans="1:11" ht="102">
      <c r="A30" s="37" t="s">
        <v>454</v>
      </c>
      <c r="B30" s="40" t="s">
        <v>17</v>
      </c>
      <c r="C30" s="40" t="s">
        <v>36</v>
      </c>
      <c r="D30" s="40" t="s">
        <v>42</v>
      </c>
      <c r="E30" s="40" t="s">
        <v>28</v>
      </c>
      <c r="F30" s="30">
        <f>1189.5+65.4</f>
        <v>1254.9000000000001</v>
      </c>
      <c r="G30" s="15">
        <f t="shared" si="0"/>
        <v>-35.783590000000004</v>
      </c>
      <c r="H30" s="31">
        <v>1219.1164100000001</v>
      </c>
      <c r="I30" s="31">
        <v>0</v>
      </c>
      <c r="J30" s="32">
        <v>0</v>
      </c>
    </row>
    <row r="31" spans="1:11" ht="63.75">
      <c r="A31" s="37" t="s">
        <v>476</v>
      </c>
      <c r="B31" s="40" t="s">
        <v>17</v>
      </c>
      <c r="C31" s="40" t="s">
        <v>36</v>
      </c>
      <c r="D31" s="40" t="s">
        <v>42</v>
      </c>
      <c r="E31" s="40" t="s">
        <v>34</v>
      </c>
      <c r="F31" s="30">
        <v>65</v>
      </c>
      <c r="G31" s="15">
        <f t="shared" si="0"/>
        <v>35.783590000000004</v>
      </c>
      <c r="H31" s="31">
        <v>100.78359</v>
      </c>
      <c r="I31" s="31">
        <v>0</v>
      </c>
      <c r="J31" s="32">
        <v>0</v>
      </c>
    </row>
    <row r="32" spans="1:11" ht="51">
      <c r="A32" s="35" t="s">
        <v>43</v>
      </c>
      <c r="B32" s="39" t="s">
        <v>17</v>
      </c>
      <c r="C32" s="39" t="s">
        <v>36</v>
      </c>
      <c r="D32" s="39" t="s">
        <v>44</v>
      </c>
      <c r="E32" s="39"/>
      <c r="F32" s="30">
        <f>642.5+31.4</f>
        <v>673.9</v>
      </c>
      <c r="G32" s="15">
        <f t="shared" si="0"/>
        <v>0</v>
      </c>
      <c r="H32" s="31">
        <v>673.9</v>
      </c>
      <c r="I32" s="31">
        <v>0</v>
      </c>
      <c r="J32" s="32">
        <v>0</v>
      </c>
      <c r="K32" s="9" t="e">
        <f>SUM(F32-#REF!)</f>
        <v>#REF!</v>
      </c>
    </row>
    <row r="33" spans="1:10" ht="102">
      <c r="A33" s="37" t="s">
        <v>455</v>
      </c>
      <c r="B33" s="40" t="s">
        <v>17</v>
      </c>
      <c r="C33" s="40" t="s">
        <v>36</v>
      </c>
      <c r="D33" s="40" t="s">
        <v>44</v>
      </c>
      <c r="E33" s="40" t="s">
        <v>28</v>
      </c>
      <c r="F33" s="30">
        <f>570+31.4</f>
        <v>601.4</v>
      </c>
      <c r="G33" s="15">
        <f t="shared" si="0"/>
        <v>31.219680000000039</v>
      </c>
      <c r="H33" s="31">
        <v>632.61968000000002</v>
      </c>
      <c r="I33" s="31">
        <v>0</v>
      </c>
      <c r="J33" s="32">
        <v>0</v>
      </c>
    </row>
    <row r="34" spans="1:10" ht="63.75">
      <c r="A34" s="37" t="s">
        <v>713</v>
      </c>
      <c r="B34" s="40" t="s">
        <v>17</v>
      </c>
      <c r="C34" s="40" t="s">
        <v>36</v>
      </c>
      <c r="D34" s="40" t="s">
        <v>44</v>
      </c>
      <c r="E34" s="40" t="s">
        <v>34</v>
      </c>
      <c r="F34" s="30">
        <v>72.5</v>
      </c>
      <c r="G34" s="15">
        <f t="shared" si="0"/>
        <v>-31.219679999999997</v>
      </c>
      <c r="H34" s="31">
        <v>41.280320000000003</v>
      </c>
      <c r="I34" s="31">
        <v>0</v>
      </c>
      <c r="J34" s="32">
        <v>0</v>
      </c>
    </row>
    <row r="35" spans="1:10" ht="25.5">
      <c r="A35" s="28" t="s">
        <v>22</v>
      </c>
      <c r="B35" s="29" t="s">
        <v>17</v>
      </c>
      <c r="C35" s="29" t="s">
        <v>36</v>
      </c>
      <c r="D35" s="29" t="s">
        <v>23</v>
      </c>
      <c r="E35" s="29"/>
      <c r="F35" s="30">
        <f>32386.20697+1677.8</f>
        <v>34064.006970000002</v>
      </c>
      <c r="G35" s="15">
        <f t="shared" si="0"/>
        <v>2240.6309399999955</v>
      </c>
      <c r="H35" s="31">
        <v>36304.637909999998</v>
      </c>
      <c r="I35" s="31">
        <v>29771.3</v>
      </c>
      <c r="J35" s="32">
        <v>27297.599999999999</v>
      </c>
    </row>
    <row r="36" spans="1:10" ht="38.25">
      <c r="A36" s="33" t="s">
        <v>24</v>
      </c>
      <c r="B36" s="34" t="s">
        <v>17</v>
      </c>
      <c r="C36" s="34" t="s">
        <v>36</v>
      </c>
      <c r="D36" s="34" t="s">
        <v>25</v>
      </c>
      <c r="E36" s="34"/>
      <c r="F36" s="30">
        <f>32386.20697+1677.8</f>
        <v>34064.006970000002</v>
      </c>
      <c r="G36" s="15">
        <f t="shared" si="0"/>
        <v>2240.6309399999955</v>
      </c>
      <c r="H36" s="31">
        <v>36304.637909999998</v>
      </c>
      <c r="I36" s="31">
        <v>29771.3</v>
      </c>
      <c r="J36" s="32">
        <v>27297.599999999999</v>
      </c>
    </row>
    <row r="37" spans="1:10" ht="63.75">
      <c r="A37" s="35" t="s">
        <v>627</v>
      </c>
      <c r="B37" s="36" t="s">
        <v>17</v>
      </c>
      <c r="C37" s="36" t="s">
        <v>36</v>
      </c>
      <c r="D37" s="36" t="s">
        <v>628</v>
      </c>
      <c r="E37" s="36"/>
      <c r="F37" s="30">
        <v>705.81196999999997</v>
      </c>
      <c r="G37" s="15">
        <f t="shared" si="0"/>
        <v>0</v>
      </c>
      <c r="H37" s="31">
        <v>705.81196999999997</v>
      </c>
      <c r="I37" s="31">
        <v>0</v>
      </c>
      <c r="J37" s="32">
        <v>0</v>
      </c>
    </row>
    <row r="38" spans="1:10" ht="114.75">
      <c r="A38" s="37" t="s">
        <v>680</v>
      </c>
      <c r="B38" s="38" t="s">
        <v>17</v>
      </c>
      <c r="C38" s="38" t="s">
        <v>36</v>
      </c>
      <c r="D38" s="38" t="s">
        <v>628</v>
      </c>
      <c r="E38" s="38" t="s">
        <v>28</v>
      </c>
      <c r="F38" s="30">
        <v>705.81196999999997</v>
      </c>
      <c r="G38" s="15">
        <f t="shared" si="0"/>
        <v>0</v>
      </c>
      <c r="H38" s="31">
        <v>705.81196999999997</v>
      </c>
      <c r="I38" s="31">
        <v>0</v>
      </c>
      <c r="J38" s="32">
        <v>0</v>
      </c>
    </row>
    <row r="39" spans="1:10" ht="51">
      <c r="A39" s="79" t="s">
        <v>433</v>
      </c>
      <c r="B39" s="43" t="s">
        <v>17</v>
      </c>
      <c r="C39" s="43" t="s">
        <v>36</v>
      </c>
      <c r="D39" s="43" t="s">
        <v>434</v>
      </c>
      <c r="E39" s="43"/>
      <c r="F39" s="30">
        <v>0</v>
      </c>
      <c r="G39" s="15">
        <f t="shared" si="0"/>
        <v>1736.7897499999999</v>
      </c>
      <c r="H39" s="31">
        <v>1736.7897499999999</v>
      </c>
      <c r="I39" s="31">
        <v>0</v>
      </c>
      <c r="J39" s="32">
        <v>0</v>
      </c>
    </row>
    <row r="40" spans="1:10" ht="102">
      <c r="A40" s="80" t="s">
        <v>451</v>
      </c>
      <c r="B40" s="44" t="s">
        <v>17</v>
      </c>
      <c r="C40" s="44" t="s">
        <v>36</v>
      </c>
      <c r="D40" s="44" t="s">
        <v>434</v>
      </c>
      <c r="E40" s="44" t="s">
        <v>28</v>
      </c>
      <c r="F40" s="30">
        <v>0</v>
      </c>
      <c r="G40" s="15">
        <f t="shared" si="0"/>
        <v>1736.7897499999999</v>
      </c>
      <c r="H40" s="31">
        <v>1736.7897499999999</v>
      </c>
      <c r="I40" s="31">
        <v>0</v>
      </c>
      <c r="J40" s="32">
        <v>0</v>
      </c>
    </row>
    <row r="41" spans="1:10" ht="51">
      <c r="A41" s="35" t="s">
        <v>46</v>
      </c>
      <c r="B41" s="39" t="s">
        <v>17</v>
      </c>
      <c r="C41" s="39" t="s">
        <v>36</v>
      </c>
      <c r="D41" s="39" t="s">
        <v>47</v>
      </c>
      <c r="E41" s="39"/>
      <c r="F41" s="30">
        <v>2981.8</v>
      </c>
      <c r="G41" s="15">
        <f t="shared" si="0"/>
        <v>0</v>
      </c>
      <c r="H41" s="31">
        <v>2981.8</v>
      </c>
      <c r="I41" s="31">
        <v>3000</v>
      </c>
      <c r="J41" s="32">
        <v>0</v>
      </c>
    </row>
    <row r="42" spans="1:10" ht="51">
      <c r="A42" s="37" t="s">
        <v>525</v>
      </c>
      <c r="B42" s="40" t="s">
        <v>17</v>
      </c>
      <c r="C42" s="40" t="s">
        <v>36</v>
      </c>
      <c r="D42" s="40" t="s">
        <v>47</v>
      </c>
      <c r="E42" s="40" t="s">
        <v>48</v>
      </c>
      <c r="F42" s="30">
        <v>2981.8</v>
      </c>
      <c r="G42" s="15">
        <f t="shared" si="0"/>
        <v>0</v>
      </c>
      <c r="H42" s="31">
        <v>2981.8</v>
      </c>
      <c r="I42" s="31">
        <v>3000</v>
      </c>
      <c r="J42" s="32">
        <v>0</v>
      </c>
    </row>
    <row r="43" spans="1:10" ht="63.75">
      <c r="A43" s="35" t="s">
        <v>32</v>
      </c>
      <c r="B43" s="39" t="s">
        <v>17</v>
      </c>
      <c r="C43" s="39" t="s">
        <v>36</v>
      </c>
      <c r="D43" s="39" t="s">
        <v>49</v>
      </c>
      <c r="E43" s="39"/>
      <c r="F43" s="30">
        <f>28698.595+1677.8</f>
        <v>30376.395</v>
      </c>
      <c r="G43" s="15">
        <f t="shared" si="0"/>
        <v>503.84118999999919</v>
      </c>
      <c r="H43" s="31">
        <v>30880.23619</v>
      </c>
      <c r="I43" s="31">
        <v>26771.3</v>
      </c>
      <c r="J43" s="32">
        <v>27297.599999999999</v>
      </c>
    </row>
    <row r="44" spans="1:10" ht="114.75">
      <c r="A44" s="37" t="s">
        <v>453</v>
      </c>
      <c r="B44" s="40" t="s">
        <v>17</v>
      </c>
      <c r="C44" s="40" t="s">
        <v>36</v>
      </c>
      <c r="D44" s="40" t="s">
        <v>49</v>
      </c>
      <c r="E44" s="40" t="s">
        <v>28</v>
      </c>
      <c r="F44" s="30">
        <f>25939.5173+1351.4</f>
        <v>27290.917300000001</v>
      </c>
      <c r="G44" s="15">
        <f t="shared" si="0"/>
        <v>943.67437000000064</v>
      </c>
      <c r="H44" s="31">
        <v>28234.591670000002</v>
      </c>
      <c r="I44" s="31">
        <v>24319.599999999999</v>
      </c>
      <c r="J44" s="32">
        <v>24562.6</v>
      </c>
    </row>
    <row r="45" spans="1:10" ht="89.25">
      <c r="A45" s="37" t="s">
        <v>477</v>
      </c>
      <c r="B45" s="40" t="s">
        <v>17</v>
      </c>
      <c r="C45" s="40" t="s">
        <v>36</v>
      </c>
      <c r="D45" s="40" t="s">
        <v>49</v>
      </c>
      <c r="E45" s="40" t="s">
        <v>34</v>
      </c>
      <c r="F45" s="41">
        <f>2759.0777+326.4</f>
        <v>3085.4776999999999</v>
      </c>
      <c r="G45" s="15">
        <f t="shared" si="0"/>
        <v>-439.83318000000008</v>
      </c>
      <c r="H45" s="31">
        <v>2645.6445199999998</v>
      </c>
      <c r="I45" s="31">
        <v>2451.6999999999998</v>
      </c>
      <c r="J45" s="32">
        <v>2735</v>
      </c>
    </row>
    <row r="46" spans="1:10">
      <c r="A46" s="18" t="s">
        <v>398</v>
      </c>
      <c r="B46" s="19" t="s">
        <v>17</v>
      </c>
      <c r="C46" s="19" t="s">
        <v>399</v>
      </c>
      <c r="D46" s="19" t="s">
        <v>399</v>
      </c>
      <c r="E46" s="19"/>
      <c r="F46" s="20">
        <v>61</v>
      </c>
      <c r="G46" s="15">
        <f t="shared" si="0"/>
        <v>0</v>
      </c>
      <c r="H46" s="21">
        <v>61</v>
      </c>
      <c r="I46" s="21">
        <v>0</v>
      </c>
      <c r="J46" s="22">
        <v>79.8</v>
      </c>
    </row>
    <row r="47" spans="1:10" ht="25.5">
      <c r="A47" s="23" t="s">
        <v>20</v>
      </c>
      <c r="B47" s="24" t="s">
        <v>17</v>
      </c>
      <c r="C47" s="24" t="s">
        <v>399</v>
      </c>
      <c r="D47" s="24" t="s">
        <v>21</v>
      </c>
      <c r="E47" s="24"/>
      <c r="F47" s="25">
        <v>61</v>
      </c>
      <c r="G47" s="15">
        <f t="shared" si="0"/>
        <v>0</v>
      </c>
      <c r="H47" s="26">
        <v>61</v>
      </c>
      <c r="I47" s="26">
        <v>0</v>
      </c>
      <c r="J47" s="27">
        <v>79.8</v>
      </c>
    </row>
    <row r="48" spans="1:10" ht="25.5">
      <c r="A48" s="28" t="s">
        <v>22</v>
      </c>
      <c r="B48" s="29" t="s">
        <v>17</v>
      </c>
      <c r="C48" s="29" t="s">
        <v>399</v>
      </c>
      <c r="D48" s="29" t="s">
        <v>23</v>
      </c>
      <c r="E48" s="29"/>
      <c r="F48" s="30">
        <v>61</v>
      </c>
      <c r="G48" s="15">
        <f t="shared" si="0"/>
        <v>0</v>
      </c>
      <c r="H48" s="31">
        <v>61</v>
      </c>
      <c r="I48" s="31">
        <v>0</v>
      </c>
      <c r="J48" s="32">
        <v>79.8</v>
      </c>
    </row>
    <row r="49" spans="1:10" ht="38.25">
      <c r="A49" s="33" t="s">
        <v>400</v>
      </c>
      <c r="B49" s="34" t="s">
        <v>17</v>
      </c>
      <c r="C49" s="34" t="s">
        <v>399</v>
      </c>
      <c r="D49" s="34" t="s">
        <v>401</v>
      </c>
      <c r="E49" s="34"/>
      <c r="F49" s="30">
        <v>61</v>
      </c>
      <c r="G49" s="15">
        <f t="shared" si="0"/>
        <v>0</v>
      </c>
      <c r="H49" s="31">
        <v>61</v>
      </c>
      <c r="I49" s="31">
        <v>0</v>
      </c>
      <c r="J49" s="32">
        <v>79.8</v>
      </c>
    </row>
    <row r="50" spans="1:10" ht="25.5">
      <c r="A50" s="35" t="s">
        <v>402</v>
      </c>
      <c r="B50" s="39" t="s">
        <v>17</v>
      </c>
      <c r="C50" s="39" t="s">
        <v>399</v>
      </c>
      <c r="D50" s="39" t="s">
        <v>403</v>
      </c>
      <c r="E50" s="39"/>
      <c r="F50" s="30">
        <v>61</v>
      </c>
      <c r="G50" s="15">
        <f t="shared" si="0"/>
        <v>0</v>
      </c>
      <c r="H50" s="31">
        <v>61</v>
      </c>
      <c r="I50" s="31">
        <v>0</v>
      </c>
      <c r="J50" s="32">
        <v>79.8</v>
      </c>
    </row>
    <row r="51" spans="1:10" ht="51">
      <c r="A51" s="37" t="s">
        <v>478</v>
      </c>
      <c r="B51" s="40" t="s">
        <v>17</v>
      </c>
      <c r="C51" s="40" t="s">
        <v>399</v>
      </c>
      <c r="D51" s="40" t="s">
        <v>403</v>
      </c>
      <c r="E51" s="40" t="s">
        <v>34</v>
      </c>
      <c r="F51" s="30">
        <v>61</v>
      </c>
      <c r="G51" s="15">
        <f t="shared" si="0"/>
        <v>0</v>
      </c>
      <c r="H51" s="31">
        <v>61</v>
      </c>
      <c r="I51" s="31">
        <v>0</v>
      </c>
      <c r="J51" s="32">
        <v>79.8</v>
      </c>
    </row>
    <row r="52" spans="1:10" ht="38.25">
      <c r="A52" s="18" t="s">
        <v>52</v>
      </c>
      <c r="B52" s="19" t="s">
        <v>17</v>
      </c>
      <c r="C52" s="19" t="s">
        <v>53</v>
      </c>
      <c r="D52" s="19"/>
      <c r="E52" s="19"/>
      <c r="F52" s="20">
        <f>15180.00042+687.2</f>
        <v>15867.200420000001</v>
      </c>
      <c r="G52" s="15">
        <f t="shared" si="0"/>
        <v>-1550.9840000000004</v>
      </c>
      <c r="H52" s="21">
        <v>14316.216420000001</v>
      </c>
      <c r="I52" s="21">
        <v>16388.95</v>
      </c>
      <c r="J52" s="22">
        <v>17005.900000000001</v>
      </c>
    </row>
    <row r="53" spans="1:10" ht="25.5">
      <c r="A53" s="23" t="s">
        <v>20</v>
      </c>
      <c r="B53" s="24" t="s">
        <v>17</v>
      </c>
      <c r="C53" s="24" t="s">
        <v>53</v>
      </c>
      <c r="D53" s="24" t="s">
        <v>21</v>
      </c>
      <c r="E53" s="24"/>
      <c r="F53" s="42">
        <f>2173.2+108.9</f>
        <v>2282.1</v>
      </c>
      <c r="G53" s="15">
        <f t="shared" si="0"/>
        <v>79.148169999999936</v>
      </c>
      <c r="H53" s="26">
        <v>2361.2481699999998</v>
      </c>
      <c r="I53" s="26">
        <v>2832.2</v>
      </c>
      <c r="J53" s="27">
        <v>2860.2</v>
      </c>
    </row>
    <row r="54" spans="1:10" ht="25.5">
      <c r="A54" s="28" t="s">
        <v>22</v>
      </c>
      <c r="B54" s="29" t="s">
        <v>17</v>
      </c>
      <c r="C54" s="29" t="s">
        <v>53</v>
      </c>
      <c r="D54" s="29" t="s">
        <v>23</v>
      </c>
      <c r="E54" s="29"/>
      <c r="F54" s="41">
        <f>2173.2+108.9</f>
        <v>2282.1</v>
      </c>
      <c r="G54" s="15">
        <f t="shared" si="0"/>
        <v>79.148169999999936</v>
      </c>
      <c r="H54" s="31">
        <v>2361.2481699999998</v>
      </c>
      <c r="I54" s="31">
        <v>2832.2</v>
      </c>
      <c r="J54" s="32">
        <v>2860.2</v>
      </c>
    </row>
    <row r="55" spans="1:10" ht="63.75">
      <c r="A55" s="33" t="s">
        <v>397</v>
      </c>
      <c r="B55" s="34" t="s">
        <v>17</v>
      </c>
      <c r="C55" s="34" t="s">
        <v>53</v>
      </c>
      <c r="D55" s="34" t="s">
        <v>31</v>
      </c>
      <c r="E55" s="34"/>
      <c r="F55" s="30">
        <f>2173.2+108.9</f>
        <v>2282.1</v>
      </c>
      <c r="G55" s="15">
        <f t="shared" si="0"/>
        <v>79.148169999999936</v>
      </c>
      <c r="H55" s="31">
        <v>2361.2481699999998</v>
      </c>
      <c r="I55" s="31">
        <v>2832.2</v>
      </c>
      <c r="J55" s="32">
        <v>2860.2</v>
      </c>
    </row>
    <row r="56" spans="1:10">
      <c r="A56" s="33" t="s">
        <v>703</v>
      </c>
      <c r="B56" s="43" t="s">
        <v>17</v>
      </c>
      <c r="C56" s="43" t="s">
        <v>53</v>
      </c>
      <c r="D56" s="43" t="s">
        <v>688</v>
      </c>
      <c r="E56" s="43"/>
      <c r="F56" s="30">
        <v>0</v>
      </c>
      <c r="G56" s="15">
        <f t="shared" si="0"/>
        <v>65.099999999999994</v>
      </c>
      <c r="H56" s="31">
        <v>65.099999999999994</v>
      </c>
      <c r="I56" s="31">
        <v>0</v>
      </c>
      <c r="J56" s="32">
        <v>0</v>
      </c>
    </row>
    <row r="57" spans="1:10" ht="63.75">
      <c r="A57" s="33" t="s">
        <v>704</v>
      </c>
      <c r="B57" s="44" t="s">
        <v>17</v>
      </c>
      <c r="C57" s="44" t="s">
        <v>53</v>
      </c>
      <c r="D57" s="44" t="s">
        <v>688</v>
      </c>
      <c r="E57" s="44" t="s">
        <v>28</v>
      </c>
      <c r="F57" s="30">
        <v>0</v>
      </c>
      <c r="G57" s="15">
        <f t="shared" si="0"/>
        <v>65.099999999999994</v>
      </c>
      <c r="H57" s="31">
        <v>65.099999999999994</v>
      </c>
      <c r="I57" s="31">
        <v>0</v>
      </c>
      <c r="J57" s="32">
        <v>0</v>
      </c>
    </row>
    <row r="58" spans="1:10" ht="63.75">
      <c r="A58" s="35" t="s">
        <v>32</v>
      </c>
      <c r="B58" s="39" t="s">
        <v>17</v>
      </c>
      <c r="C58" s="39" t="s">
        <v>53</v>
      </c>
      <c r="D58" s="39" t="s">
        <v>33</v>
      </c>
      <c r="E58" s="39"/>
      <c r="F58" s="41">
        <f>2173.2+108.9</f>
        <v>2282.1</v>
      </c>
      <c r="G58" s="15">
        <f t="shared" si="0"/>
        <v>14.048170000000027</v>
      </c>
      <c r="H58" s="31">
        <v>2296.1481699999999</v>
      </c>
      <c r="I58" s="31">
        <v>2832.2</v>
      </c>
      <c r="J58" s="32">
        <v>2860.2</v>
      </c>
    </row>
    <row r="59" spans="1:10" ht="114.75">
      <c r="A59" s="37" t="s">
        <v>453</v>
      </c>
      <c r="B59" s="40" t="s">
        <v>17</v>
      </c>
      <c r="C59" s="40" t="s">
        <v>53</v>
      </c>
      <c r="D59" s="40" t="s">
        <v>33</v>
      </c>
      <c r="E59" s="40" t="s">
        <v>28</v>
      </c>
      <c r="F59" s="41">
        <f>2128.2+108.9</f>
        <v>2237.1</v>
      </c>
      <c r="G59" s="15">
        <f t="shared" si="0"/>
        <v>49.093710000000101</v>
      </c>
      <c r="H59" s="31">
        <v>2286.19371</v>
      </c>
      <c r="I59" s="31">
        <v>2787.2</v>
      </c>
      <c r="J59" s="32">
        <v>2815.2</v>
      </c>
    </row>
    <row r="60" spans="1:10" ht="89.25">
      <c r="A60" s="37" t="s">
        <v>475</v>
      </c>
      <c r="B60" s="40" t="s">
        <v>17</v>
      </c>
      <c r="C60" s="40" t="s">
        <v>53</v>
      </c>
      <c r="D60" s="40" t="s">
        <v>33</v>
      </c>
      <c r="E60" s="40" t="s">
        <v>34</v>
      </c>
      <c r="F60" s="30">
        <v>45</v>
      </c>
      <c r="G60" s="15">
        <f t="shared" si="0"/>
        <v>-35.045540000000003</v>
      </c>
      <c r="H60" s="31">
        <v>9.9544599999999992</v>
      </c>
      <c r="I60" s="31">
        <v>45</v>
      </c>
      <c r="J60" s="32">
        <v>45</v>
      </c>
    </row>
    <row r="61" spans="1:10" ht="25.5">
      <c r="A61" s="23" t="s">
        <v>54</v>
      </c>
      <c r="B61" s="24" t="s">
        <v>17</v>
      </c>
      <c r="C61" s="24" t="s">
        <v>53</v>
      </c>
      <c r="D61" s="24" t="s">
        <v>55</v>
      </c>
      <c r="E61" s="24"/>
      <c r="F61" s="25">
        <f>13006.80042+578.3</f>
        <v>13585.100419999999</v>
      </c>
      <c r="G61" s="15">
        <f t="shared" si="0"/>
        <v>-1630.132169999999</v>
      </c>
      <c r="H61" s="26">
        <v>11954.96825</v>
      </c>
      <c r="I61" s="26">
        <v>13556.75</v>
      </c>
      <c r="J61" s="27">
        <v>14145.7</v>
      </c>
    </row>
    <row r="62" spans="1:10" ht="25.5">
      <c r="A62" s="28" t="s">
        <v>56</v>
      </c>
      <c r="B62" s="29" t="s">
        <v>17</v>
      </c>
      <c r="C62" s="29" t="s">
        <v>53</v>
      </c>
      <c r="D62" s="29" t="s">
        <v>57</v>
      </c>
      <c r="E62" s="29"/>
      <c r="F62" s="30">
        <f>13006.80042+578.3</f>
        <v>13585.100419999999</v>
      </c>
      <c r="G62" s="15">
        <f t="shared" si="0"/>
        <v>-1630.132169999999</v>
      </c>
      <c r="H62" s="31">
        <v>11954.96825</v>
      </c>
      <c r="I62" s="31">
        <v>13556.75</v>
      </c>
      <c r="J62" s="32">
        <v>14145.7</v>
      </c>
    </row>
    <row r="63" spans="1:10" ht="38.25">
      <c r="A63" s="33" t="s">
        <v>58</v>
      </c>
      <c r="B63" s="34" t="s">
        <v>17</v>
      </c>
      <c r="C63" s="34" t="s">
        <v>53</v>
      </c>
      <c r="D63" s="34" t="s">
        <v>59</v>
      </c>
      <c r="E63" s="34"/>
      <c r="F63" s="30">
        <f>13006.80042+578.3</f>
        <v>13585.100419999999</v>
      </c>
      <c r="G63" s="15">
        <f t="shared" si="0"/>
        <v>-1630.132169999999</v>
      </c>
      <c r="H63" s="31">
        <v>11954.96825</v>
      </c>
      <c r="I63" s="31">
        <v>13556.75</v>
      </c>
      <c r="J63" s="32">
        <v>14145.7</v>
      </c>
    </row>
    <row r="64" spans="1:10" ht="63.75">
      <c r="A64" s="35" t="s">
        <v>627</v>
      </c>
      <c r="B64" s="36" t="s">
        <v>17</v>
      </c>
      <c r="C64" s="36" t="s">
        <v>53</v>
      </c>
      <c r="D64" s="36" t="s">
        <v>629</v>
      </c>
      <c r="E64" s="36"/>
      <c r="F64" s="30">
        <v>131.85042000000001</v>
      </c>
      <c r="G64" s="15">
        <f t="shared" si="0"/>
        <v>0</v>
      </c>
      <c r="H64" s="31">
        <v>131.85042000000001</v>
      </c>
      <c r="I64" s="31">
        <v>0</v>
      </c>
      <c r="J64" s="32">
        <v>0</v>
      </c>
    </row>
    <row r="65" spans="1:10" ht="114.75">
      <c r="A65" s="37" t="s">
        <v>680</v>
      </c>
      <c r="B65" s="38" t="s">
        <v>17</v>
      </c>
      <c r="C65" s="38" t="s">
        <v>53</v>
      </c>
      <c r="D65" s="38" t="s">
        <v>629</v>
      </c>
      <c r="E65" s="38" t="s">
        <v>28</v>
      </c>
      <c r="F65" s="30">
        <v>131.85042000000001</v>
      </c>
      <c r="G65" s="15">
        <f t="shared" si="0"/>
        <v>0</v>
      </c>
      <c r="H65" s="31">
        <v>131.85042000000001</v>
      </c>
      <c r="I65" s="31">
        <v>0</v>
      </c>
      <c r="J65" s="32">
        <v>0</v>
      </c>
    </row>
    <row r="66" spans="1:10">
      <c r="A66" s="79" t="s">
        <v>601</v>
      </c>
      <c r="B66" s="43" t="s">
        <v>17</v>
      </c>
      <c r="C66" s="43" t="s">
        <v>53</v>
      </c>
      <c r="D66" s="43" t="s">
        <v>689</v>
      </c>
      <c r="E66" s="43"/>
      <c r="F66" s="30">
        <v>0</v>
      </c>
      <c r="G66" s="15">
        <f t="shared" si="0"/>
        <v>143.69400999999999</v>
      </c>
      <c r="H66" s="31">
        <v>143.69400999999999</v>
      </c>
      <c r="I66" s="31">
        <v>0</v>
      </c>
      <c r="J66" s="32">
        <v>0</v>
      </c>
    </row>
    <row r="67" spans="1:10" ht="63.75">
      <c r="A67" s="80" t="s">
        <v>704</v>
      </c>
      <c r="B67" s="44" t="s">
        <v>17</v>
      </c>
      <c r="C67" s="44" t="s">
        <v>53</v>
      </c>
      <c r="D67" s="44" t="s">
        <v>689</v>
      </c>
      <c r="E67" s="44" t="s">
        <v>28</v>
      </c>
      <c r="F67" s="30">
        <v>0</v>
      </c>
      <c r="G67" s="15">
        <f t="shared" si="0"/>
        <v>143.69400999999999</v>
      </c>
      <c r="H67" s="31">
        <v>143.69400999999999</v>
      </c>
      <c r="I67" s="31">
        <v>0</v>
      </c>
      <c r="J67" s="32">
        <v>0</v>
      </c>
    </row>
    <row r="68" spans="1:10" ht="76.5">
      <c r="A68" s="35" t="s">
        <v>60</v>
      </c>
      <c r="B68" s="39" t="s">
        <v>17</v>
      </c>
      <c r="C68" s="39" t="s">
        <v>53</v>
      </c>
      <c r="D68" s="39" t="s">
        <v>61</v>
      </c>
      <c r="E68" s="39"/>
      <c r="F68" s="30">
        <f>12281.65+545.7</f>
        <v>12827.35</v>
      </c>
      <c r="G68" s="15">
        <f t="shared" si="0"/>
        <v>-1773.82618</v>
      </c>
      <c r="H68" s="31">
        <v>11053.52382</v>
      </c>
      <c r="I68" s="31">
        <v>13556.75</v>
      </c>
      <c r="J68" s="32">
        <v>14145.7</v>
      </c>
    </row>
    <row r="69" spans="1:10" ht="127.5">
      <c r="A69" s="37" t="s">
        <v>456</v>
      </c>
      <c r="B69" s="40" t="s">
        <v>17</v>
      </c>
      <c r="C69" s="40" t="s">
        <v>53</v>
      </c>
      <c r="D69" s="40" t="s">
        <v>61</v>
      </c>
      <c r="E69" s="40" t="s">
        <v>28</v>
      </c>
      <c r="F69" s="30">
        <f>10401.5+545.7</f>
        <v>10947.2</v>
      </c>
      <c r="G69" s="15">
        <f t="shared" si="0"/>
        <v>-1742.4779900000012</v>
      </c>
      <c r="H69" s="31">
        <v>9204.7220099999995</v>
      </c>
      <c r="I69" s="31">
        <v>11374</v>
      </c>
      <c r="J69" s="32">
        <v>11829</v>
      </c>
    </row>
    <row r="70" spans="1:10" ht="89.25">
      <c r="A70" s="37" t="s">
        <v>479</v>
      </c>
      <c r="B70" s="40" t="s">
        <v>17</v>
      </c>
      <c r="C70" s="40" t="s">
        <v>53</v>
      </c>
      <c r="D70" s="40" t="s">
        <v>61</v>
      </c>
      <c r="E70" s="40" t="s">
        <v>34</v>
      </c>
      <c r="F70" s="30">
        <v>1880.15</v>
      </c>
      <c r="G70" s="15">
        <f t="shared" si="0"/>
        <v>-31.348190000000159</v>
      </c>
      <c r="H70" s="31">
        <v>1848.8018099999999</v>
      </c>
      <c r="I70" s="31">
        <v>2182.75</v>
      </c>
      <c r="J70" s="32">
        <v>2316.6999999999998</v>
      </c>
    </row>
    <row r="71" spans="1:10" ht="51">
      <c r="A71" s="35" t="s">
        <v>62</v>
      </c>
      <c r="B71" s="39" t="s">
        <v>17</v>
      </c>
      <c r="C71" s="39" t="s">
        <v>53</v>
      </c>
      <c r="D71" s="39" t="s">
        <v>63</v>
      </c>
      <c r="E71" s="39"/>
      <c r="F71" s="41">
        <f>593.3+32.6</f>
        <v>625.9</v>
      </c>
      <c r="G71" s="15">
        <f t="shared" si="0"/>
        <v>0</v>
      </c>
      <c r="H71" s="31">
        <v>625.9</v>
      </c>
      <c r="I71" s="31">
        <v>0</v>
      </c>
      <c r="J71" s="32">
        <v>0</v>
      </c>
    </row>
    <row r="72" spans="1:10" ht="102">
      <c r="A72" s="37" t="s">
        <v>457</v>
      </c>
      <c r="B72" s="40" t="s">
        <v>17</v>
      </c>
      <c r="C72" s="40" t="s">
        <v>53</v>
      </c>
      <c r="D72" s="40" t="s">
        <v>63</v>
      </c>
      <c r="E72" s="40" t="s">
        <v>28</v>
      </c>
      <c r="F72" s="30">
        <f>593.3+32.6</f>
        <v>625.9</v>
      </c>
      <c r="G72" s="15">
        <f t="shared" si="0"/>
        <v>-332.59044999999998</v>
      </c>
      <c r="H72" s="31">
        <v>293.30955</v>
      </c>
      <c r="I72" s="31">
        <v>0</v>
      </c>
      <c r="J72" s="32">
        <v>0</v>
      </c>
    </row>
    <row r="73" spans="1:10" ht="76.5">
      <c r="A73" s="37" t="s">
        <v>683</v>
      </c>
      <c r="B73" s="44" t="s">
        <v>17</v>
      </c>
      <c r="C73" s="44" t="s">
        <v>53</v>
      </c>
      <c r="D73" s="44" t="s">
        <v>63</v>
      </c>
      <c r="E73" s="44" t="s">
        <v>34</v>
      </c>
      <c r="F73" s="30"/>
      <c r="G73" s="15"/>
      <c r="H73" s="31">
        <v>332.59044999999998</v>
      </c>
      <c r="I73" s="31">
        <v>0</v>
      </c>
      <c r="J73" s="32">
        <v>0</v>
      </c>
    </row>
    <row r="74" spans="1:10">
      <c r="A74" s="45" t="s">
        <v>630</v>
      </c>
      <c r="B74" s="46" t="s">
        <v>17</v>
      </c>
      <c r="C74" s="46" t="s">
        <v>631</v>
      </c>
      <c r="D74" s="46" t="s">
        <v>631</v>
      </c>
      <c r="E74" s="46"/>
      <c r="F74" s="20">
        <v>380</v>
      </c>
      <c r="G74" s="15">
        <f t="shared" si="0"/>
        <v>0</v>
      </c>
      <c r="H74" s="21">
        <v>380</v>
      </c>
      <c r="I74" s="21">
        <v>0</v>
      </c>
      <c r="J74" s="22">
        <v>0</v>
      </c>
    </row>
    <row r="75" spans="1:10" ht="25.5">
      <c r="A75" s="47" t="s">
        <v>20</v>
      </c>
      <c r="B75" s="48" t="s">
        <v>17</v>
      </c>
      <c r="C75" s="48" t="s">
        <v>631</v>
      </c>
      <c r="D75" s="48" t="s">
        <v>21</v>
      </c>
      <c r="E75" s="48"/>
      <c r="F75" s="25">
        <v>380</v>
      </c>
      <c r="G75" s="15">
        <f t="shared" si="0"/>
        <v>0</v>
      </c>
      <c r="H75" s="26">
        <v>380</v>
      </c>
      <c r="I75" s="26">
        <v>0</v>
      </c>
      <c r="J75" s="27">
        <v>0</v>
      </c>
    </row>
    <row r="76" spans="1:10" ht="25.5">
      <c r="A76" s="28" t="s">
        <v>22</v>
      </c>
      <c r="B76" s="49" t="s">
        <v>17</v>
      </c>
      <c r="C76" s="49" t="s">
        <v>631</v>
      </c>
      <c r="D76" s="49" t="s">
        <v>23</v>
      </c>
      <c r="E76" s="49"/>
      <c r="F76" s="30">
        <v>380</v>
      </c>
      <c r="G76" s="15">
        <f t="shared" si="0"/>
        <v>0</v>
      </c>
      <c r="H76" s="31">
        <v>380</v>
      </c>
      <c r="I76" s="31">
        <v>0</v>
      </c>
      <c r="J76" s="32">
        <v>0</v>
      </c>
    </row>
    <row r="77" spans="1:10" ht="38.25">
      <c r="A77" s="33" t="s">
        <v>632</v>
      </c>
      <c r="B77" s="50" t="s">
        <v>17</v>
      </c>
      <c r="C77" s="50" t="s">
        <v>631</v>
      </c>
      <c r="D77" s="50" t="s">
        <v>633</v>
      </c>
      <c r="E77" s="50"/>
      <c r="F77" s="30">
        <v>380</v>
      </c>
      <c r="G77" s="15">
        <f t="shared" si="0"/>
        <v>0</v>
      </c>
      <c r="H77" s="31">
        <v>380</v>
      </c>
      <c r="I77" s="31">
        <v>0</v>
      </c>
      <c r="J77" s="32">
        <v>0</v>
      </c>
    </row>
    <row r="78" spans="1:10" ht="63.75">
      <c r="A78" s="35" t="s">
        <v>634</v>
      </c>
      <c r="B78" s="36" t="s">
        <v>17</v>
      </c>
      <c r="C78" s="36" t="s">
        <v>631</v>
      </c>
      <c r="D78" s="36" t="s">
        <v>635</v>
      </c>
      <c r="E78" s="36"/>
      <c r="F78" s="30">
        <v>380</v>
      </c>
      <c r="G78" s="15">
        <f t="shared" ref="G78:G143" si="1">SUM(H78-F78)</f>
        <v>0</v>
      </c>
      <c r="H78" s="31">
        <v>380</v>
      </c>
      <c r="I78" s="31">
        <v>0</v>
      </c>
      <c r="J78" s="32">
        <v>0</v>
      </c>
    </row>
    <row r="79" spans="1:10" ht="63.75">
      <c r="A79" s="37" t="s">
        <v>653</v>
      </c>
      <c r="B79" s="38" t="s">
        <v>17</v>
      </c>
      <c r="C79" s="38" t="s">
        <v>631</v>
      </c>
      <c r="D79" s="38" t="s">
        <v>635</v>
      </c>
      <c r="E79" s="38" t="s">
        <v>48</v>
      </c>
      <c r="F79" s="30">
        <v>380</v>
      </c>
      <c r="G79" s="15">
        <f t="shared" si="1"/>
        <v>0</v>
      </c>
      <c r="H79" s="31">
        <v>380</v>
      </c>
      <c r="I79" s="31">
        <v>0</v>
      </c>
      <c r="J79" s="32">
        <v>0</v>
      </c>
    </row>
    <row r="80" spans="1:10">
      <c r="A80" s="18" t="s">
        <v>64</v>
      </c>
      <c r="B80" s="19" t="s">
        <v>17</v>
      </c>
      <c r="C80" s="19" t="s">
        <v>65</v>
      </c>
      <c r="D80" s="19"/>
      <c r="E80" s="19"/>
      <c r="F80" s="20">
        <v>168.97901999999999</v>
      </c>
      <c r="G80" s="15">
        <f t="shared" si="1"/>
        <v>-168.97901999999999</v>
      </c>
      <c r="H80" s="21">
        <v>0</v>
      </c>
      <c r="I80" s="21">
        <v>100</v>
      </c>
      <c r="J80" s="22">
        <v>100</v>
      </c>
    </row>
    <row r="81" spans="1:10" ht="51">
      <c r="A81" s="23" t="s">
        <v>66</v>
      </c>
      <c r="B81" s="24" t="s">
        <v>17</v>
      </c>
      <c r="C81" s="24" t="s">
        <v>65</v>
      </c>
      <c r="D81" s="24" t="s">
        <v>67</v>
      </c>
      <c r="E81" s="24"/>
      <c r="F81" s="25">
        <v>168.97901999999999</v>
      </c>
      <c r="G81" s="15">
        <f t="shared" si="1"/>
        <v>-168.97901999999999</v>
      </c>
      <c r="H81" s="26">
        <v>0</v>
      </c>
      <c r="I81" s="26">
        <v>100</v>
      </c>
      <c r="J81" s="27">
        <v>100</v>
      </c>
    </row>
    <row r="82" spans="1:10" ht="25.5">
      <c r="A82" s="33" t="s">
        <v>68</v>
      </c>
      <c r="B82" s="34" t="s">
        <v>17</v>
      </c>
      <c r="C82" s="34" t="s">
        <v>65</v>
      </c>
      <c r="D82" s="34" t="s">
        <v>69</v>
      </c>
      <c r="E82" s="34"/>
      <c r="F82" s="30">
        <v>168.97901999999999</v>
      </c>
      <c r="G82" s="15">
        <f t="shared" si="1"/>
        <v>-168.97901999999999</v>
      </c>
      <c r="H82" s="31">
        <v>0</v>
      </c>
      <c r="I82" s="31">
        <v>100</v>
      </c>
      <c r="J82" s="32">
        <v>100</v>
      </c>
    </row>
    <row r="83" spans="1:10" ht="63.75">
      <c r="A83" s="35" t="s">
        <v>70</v>
      </c>
      <c r="B83" s="39" t="s">
        <v>17</v>
      </c>
      <c r="C83" s="39" t="s">
        <v>65</v>
      </c>
      <c r="D83" s="39" t="s">
        <v>71</v>
      </c>
      <c r="E83" s="39"/>
      <c r="F83" s="30">
        <v>168.97901999999999</v>
      </c>
      <c r="G83" s="15">
        <f t="shared" si="1"/>
        <v>-168.97901999999999</v>
      </c>
      <c r="H83" s="31">
        <v>0</v>
      </c>
      <c r="I83" s="31">
        <v>100</v>
      </c>
      <c r="J83" s="32">
        <v>100</v>
      </c>
    </row>
    <row r="84" spans="1:10" ht="63.75">
      <c r="A84" s="37" t="s">
        <v>570</v>
      </c>
      <c r="B84" s="40" t="s">
        <v>17</v>
      </c>
      <c r="C84" s="40" t="s">
        <v>65</v>
      </c>
      <c r="D84" s="40" t="s">
        <v>71</v>
      </c>
      <c r="E84" s="40" t="s">
        <v>51</v>
      </c>
      <c r="F84" s="30">
        <v>168.97901999999999</v>
      </c>
      <c r="G84" s="15">
        <f t="shared" si="1"/>
        <v>-168.97901999999999</v>
      </c>
      <c r="H84" s="31">
        <v>0</v>
      </c>
      <c r="I84" s="31">
        <v>100</v>
      </c>
      <c r="J84" s="32">
        <v>100</v>
      </c>
    </row>
    <row r="85" spans="1:10">
      <c r="A85" s="18" t="s">
        <v>72</v>
      </c>
      <c r="B85" s="19" t="s">
        <v>17</v>
      </c>
      <c r="C85" s="19" t="s">
        <v>73</v>
      </c>
      <c r="D85" s="19"/>
      <c r="E85" s="19"/>
      <c r="F85" s="20">
        <f>44834.25258+2757.2</f>
        <v>47591.452579999997</v>
      </c>
      <c r="G85" s="15">
        <f t="shared" si="1"/>
        <v>-1720.8977099999975</v>
      </c>
      <c r="H85" s="21">
        <v>45870.55487</v>
      </c>
      <c r="I85" s="21">
        <v>30142.9</v>
      </c>
      <c r="J85" s="22">
        <v>35502.5</v>
      </c>
    </row>
    <row r="86" spans="1:10" ht="25.5">
      <c r="A86" s="23" t="s">
        <v>20</v>
      </c>
      <c r="B86" s="24" t="s">
        <v>17</v>
      </c>
      <c r="C86" s="24" t="s">
        <v>73</v>
      </c>
      <c r="D86" s="24" t="s">
        <v>21</v>
      </c>
      <c r="E86" s="24"/>
      <c r="F86" s="42">
        <f>23113.4+1160.2</f>
        <v>24273.600000000002</v>
      </c>
      <c r="G86" s="15">
        <f t="shared" si="1"/>
        <v>-1159.4491100000014</v>
      </c>
      <c r="H86" s="26">
        <v>23114.150890000001</v>
      </c>
      <c r="I86" s="26">
        <v>21545.4</v>
      </c>
      <c r="J86" s="27">
        <v>26691.5</v>
      </c>
    </row>
    <row r="87" spans="1:10" ht="38.25">
      <c r="A87" s="28" t="s">
        <v>37</v>
      </c>
      <c r="B87" s="29" t="s">
        <v>17</v>
      </c>
      <c r="C87" s="29" t="s">
        <v>73</v>
      </c>
      <c r="D87" s="29" t="s">
        <v>38</v>
      </c>
      <c r="E87" s="29"/>
      <c r="F87" s="30">
        <v>1660</v>
      </c>
      <c r="G87" s="15">
        <f t="shared" si="1"/>
        <v>12</v>
      </c>
      <c r="H87" s="31">
        <v>1672</v>
      </c>
      <c r="I87" s="31">
        <v>1602</v>
      </c>
      <c r="J87" s="32">
        <v>1660</v>
      </c>
    </row>
    <row r="88" spans="1:10" ht="38.25">
      <c r="A88" s="33" t="s">
        <v>39</v>
      </c>
      <c r="B88" s="34" t="s">
        <v>17</v>
      </c>
      <c r="C88" s="34" t="s">
        <v>73</v>
      </c>
      <c r="D88" s="34" t="s">
        <v>40</v>
      </c>
      <c r="E88" s="34"/>
      <c r="F88" s="30">
        <v>1660</v>
      </c>
      <c r="G88" s="15">
        <f t="shared" si="1"/>
        <v>12</v>
      </c>
      <c r="H88" s="31">
        <v>1672</v>
      </c>
      <c r="I88" s="31">
        <v>1602</v>
      </c>
      <c r="J88" s="32">
        <v>1660</v>
      </c>
    </row>
    <row r="89" spans="1:10" ht="38.25">
      <c r="A89" s="35" t="s">
        <v>404</v>
      </c>
      <c r="B89" s="39" t="s">
        <v>17</v>
      </c>
      <c r="C89" s="39" t="s">
        <v>73</v>
      </c>
      <c r="D89" s="39" t="s">
        <v>405</v>
      </c>
      <c r="E89" s="39"/>
      <c r="F89" s="30">
        <v>566</v>
      </c>
      <c r="G89" s="15">
        <f t="shared" si="1"/>
        <v>4</v>
      </c>
      <c r="H89" s="31">
        <v>570</v>
      </c>
      <c r="I89" s="31">
        <v>548</v>
      </c>
      <c r="J89" s="32">
        <v>567</v>
      </c>
    </row>
    <row r="90" spans="1:10" ht="89.25">
      <c r="A90" s="37" t="s">
        <v>458</v>
      </c>
      <c r="B90" s="40" t="s">
        <v>17</v>
      </c>
      <c r="C90" s="40" t="s">
        <v>73</v>
      </c>
      <c r="D90" s="40" t="s">
        <v>405</v>
      </c>
      <c r="E90" s="40" t="s">
        <v>28</v>
      </c>
      <c r="F90" s="30">
        <v>566</v>
      </c>
      <c r="G90" s="15">
        <f t="shared" si="1"/>
        <v>4</v>
      </c>
      <c r="H90" s="31">
        <v>570</v>
      </c>
      <c r="I90" s="31">
        <v>548</v>
      </c>
      <c r="J90" s="32">
        <v>567</v>
      </c>
    </row>
    <row r="91" spans="1:10" ht="89.25">
      <c r="A91" s="35" t="s">
        <v>74</v>
      </c>
      <c r="B91" s="39" t="s">
        <v>17</v>
      </c>
      <c r="C91" s="39" t="s">
        <v>73</v>
      </c>
      <c r="D91" s="39" t="s">
        <v>75</v>
      </c>
      <c r="E91" s="39"/>
      <c r="F91" s="30">
        <v>556</v>
      </c>
      <c r="G91" s="15">
        <f t="shared" si="1"/>
        <v>4</v>
      </c>
      <c r="H91" s="31">
        <v>560</v>
      </c>
      <c r="I91" s="31">
        <v>538</v>
      </c>
      <c r="J91" s="32">
        <v>557</v>
      </c>
    </row>
    <row r="92" spans="1:10" ht="140.25">
      <c r="A92" s="37" t="s">
        <v>459</v>
      </c>
      <c r="B92" s="40" t="s">
        <v>17</v>
      </c>
      <c r="C92" s="40" t="s">
        <v>73</v>
      </c>
      <c r="D92" s="40" t="s">
        <v>75</v>
      </c>
      <c r="E92" s="40" t="s">
        <v>28</v>
      </c>
      <c r="F92" s="30">
        <v>556</v>
      </c>
      <c r="G92" s="15">
        <f t="shared" si="1"/>
        <v>4</v>
      </c>
      <c r="H92" s="31">
        <v>560</v>
      </c>
      <c r="I92" s="31">
        <v>538</v>
      </c>
      <c r="J92" s="32">
        <v>557</v>
      </c>
    </row>
    <row r="93" spans="1:10" ht="76.5">
      <c r="A93" s="35" t="s">
        <v>76</v>
      </c>
      <c r="B93" s="39" t="s">
        <v>17</v>
      </c>
      <c r="C93" s="39" t="s">
        <v>73</v>
      </c>
      <c r="D93" s="39" t="s">
        <v>77</v>
      </c>
      <c r="E93" s="39"/>
      <c r="F93" s="30">
        <v>538</v>
      </c>
      <c r="G93" s="15">
        <f t="shared" si="1"/>
        <v>4</v>
      </c>
      <c r="H93" s="31">
        <v>542</v>
      </c>
      <c r="I93" s="31">
        <v>516</v>
      </c>
      <c r="J93" s="32">
        <v>536</v>
      </c>
    </row>
    <row r="94" spans="1:10" ht="127.5">
      <c r="A94" s="37" t="s">
        <v>460</v>
      </c>
      <c r="B94" s="40" t="s">
        <v>17</v>
      </c>
      <c r="C94" s="40" t="s">
        <v>73</v>
      </c>
      <c r="D94" s="40" t="s">
        <v>77</v>
      </c>
      <c r="E94" s="40" t="s">
        <v>28</v>
      </c>
      <c r="F94" s="30">
        <v>538</v>
      </c>
      <c r="G94" s="15">
        <f t="shared" si="1"/>
        <v>4</v>
      </c>
      <c r="H94" s="31">
        <v>542</v>
      </c>
      <c r="I94" s="31">
        <v>516</v>
      </c>
      <c r="J94" s="32">
        <v>536</v>
      </c>
    </row>
    <row r="95" spans="1:10" ht="25.5">
      <c r="A95" s="28" t="s">
        <v>22</v>
      </c>
      <c r="B95" s="29" t="s">
        <v>17</v>
      </c>
      <c r="C95" s="29" t="s">
        <v>73</v>
      </c>
      <c r="D95" s="29" t="s">
        <v>23</v>
      </c>
      <c r="E95" s="29"/>
      <c r="F95" s="30">
        <f>21453.4+1160.2</f>
        <v>22613.600000000002</v>
      </c>
      <c r="G95" s="15">
        <f t="shared" si="1"/>
        <v>-1171.4491100000014</v>
      </c>
      <c r="H95" s="31">
        <v>21442.150890000001</v>
      </c>
      <c r="I95" s="31">
        <v>19943.400000000001</v>
      </c>
      <c r="J95" s="32">
        <v>25031.5</v>
      </c>
    </row>
    <row r="96" spans="1:10" ht="38.25">
      <c r="A96" s="33" t="s">
        <v>78</v>
      </c>
      <c r="B96" s="34" t="s">
        <v>17</v>
      </c>
      <c r="C96" s="34" t="s">
        <v>73</v>
      </c>
      <c r="D96" s="34" t="s">
        <v>79</v>
      </c>
      <c r="E96" s="34"/>
      <c r="F96" s="30">
        <f>21453.4+1160.2</f>
        <v>22613.600000000002</v>
      </c>
      <c r="G96" s="15">
        <f t="shared" si="1"/>
        <v>-1171.4491100000014</v>
      </c>
      <c r="H96" s="31">
        <v>21442.150890000001</v>
      </c>
      <c r="I96" s="31">
        <v>19943.400000000001</v>
      </c>
      <c r="J96" s="32">
        <v>25031.5</v>
      </c>
    </row>
    <row r="97" spans="1:10">
      <c r="A97" s="79" t="s">
        <v>601</v>
      </c>
      <c r="B97" s="43" t="s">
        <v>17</v>
      </c>
      <c r="C97" s="43" t="s">
        <v>73</v>
      </c>
      <c r="D97" s="43" t="s">
        <v>690</v>
      </c>
      <c r="E97" s="43"/>
      <c r="F97" s="30">
        <v>0</v>
      </c>
      <c r="G97" s="15">
        <f t="shared" si="1"/>
        <v>706.38577999999995</v>
      </c>
      <c r="H97" s="31">
        <v>706.38577999999995</v>
      </c>
      <c r="I97" s="31">
        <v>0</v>
      </c>
      <c r="J97" s="32">
        <v>0</v>
      </c>
    </row>
    <row r="98" spans="1:10" ht="63.75">
      <c r="A98" s="80" t="s">
        <v>704</v>
      </c>
      <c r="B98" s="44" t="s">
        <v>17</v>
      </c>
      <c r="C98" s="44" t="s">
        <v>73</v>
      </c>
      <c r="D98" s="44" t="s">
        <v>690</v>
      </c>
      <c r="E98" s="44" t="s">
        <v>28</v>
      </c>
      <c r="F98" s="30">
        <v>0</v>
      </c>
      <c r="G98" s="15">
        <f t="shared" si="1"/>
        <v>706.38577999999995</v>
      </c>
      <c r="H98" s="31">
        <v>706.38577999999995</v>
      </c>
      <c r="I98" s="31">
        <v>0</v>
      </c>
      <c r="J98" s="32">
        <v>0</v>
      </c>
    </row>
    <row r="99" spans="1:10" ht="51">
      <c r="A99" s="35" t="s">
        <v>80</v>
      </c>
      <c r="B99" s="39" t="s">
        <v>17</v>
      </c>
      <c r="C99" s="39" t="s">
        <v>73</v>
      </c>
      <c r="D99" s="39" t="s">
        <v>81</v>
      </c>
      <c r="E99" s="39"/>
      <c r="F99" s="30">
        <f>21453.4+1160.2</f>
        <v>22613.600000000002</v>
      </c>
      <c r="G99" s="15">
        <f t="shared" si="1"/>
        <v>-1877.8348900000019</v>
      </c>
      <c r="H99" s="31">
        <v>20735.76511</v>
      </c>
      <c r="I99" s="31">
        <v>19943.400000000001</v>
      </c>
      <c r="J99" s="32">
        <v>25031.5</v>
      </c>
    </row>
    <row r="100" spans="1:10" ht="102">
      <c r="A100" s="37" t="s">
        <v>461</v>
      </c>
      <c r="B100" s="40" t="s">
        <v>17</v>
      </c>
      <c r="C100" s="40" t="s">
        <v>73</v>
      </c>
      <c r="D100" s="40" t="s">
        <v>81</v>
      </c>
      <c r="E100" s="40" t="s">
        <v>28</v>
      </c>
      <c r="F100" s="41">
        <f>16183.1+889.9</f>
        <v>17073</v>
      </c>
      <c r="G100" s="15">
        <f t="shared" si="1"/>
        <v>-1801.4109800000006</v>
      </c>
      <c r="H100" s="31">
        <v>15271.589019999999</v>
      </c>
      <c r="I100" s="31">
        <v>14487.1</v>
      </c>
      <c r="J100" s="32">
        <v>18989.8</v>
      </c>
    </row>
    <row r="101" spans="1:10" ht="63.75">
      <c r="A101" s="37" t="s">
        <v>480</v>
      </c>
      <c r="B101" s="40" t="s">
        <v>17</v>
      </c>
      <c r="C101" s="40" t="s">
        <v>73</v>
      </c>
      <c r="D101" s="40" t="s">
        <v>81</v>
      </c>
      <c r="E101" s="40" t="s">
        <v>34</v>
      </c>
      <c r="F101" s="41">
        <f>5182.3+270.3</f>
        <v>5452.6</v>
      </c>
      <c r="G101" s="15">
        <f t="shared" si="1"/>
        <v>-63.284910000000309</v>
      </c>
      <c r="H101" s="31">
        <v>5389.3150900000001</v>
      </c>
      <c r="I101" s="31">
        <v>5372.3</v>
      </c>
      <c r="J101" s="32">
        <v>5961.7</v>
      </c>
    </row>
    <row r="102" spans="1:10" ht="63.75">
      <c r="A102" s="37" t="s">
        <v>571</v>
      </c>
      <c r="B102" s="40" t="s">
        <v>17</v>
      </c>
      <c r="C102" s="40" t="s">
        <v>73</v>
      </c>
      <c r="D102" s="40" t="s">
        <v>81</v>
      </c>
      <c r="E102" s="40" t="s">
        <v>51</v>
      </c>
      <c r="F102" s="30">
        <v>88</v>
      </c>
      <c r="G102" s="15">
        <f t="shared" si="1"/>
        <v>-13.138999999999996</v>
      </c>
      <c r="H102" s="31">
        <v>74.861000000000004</v>
      </c>
      <c r="I102" s="31">
        <v>84</v>
      </c>
      <c r="J102" s="32">
        <v>80</v>
      </c>
    </row>
    <row r="103" spans="1:10" ht="38.25">
      <c r="A103" s="23" t="s">
        <v>82</v>
      </c>
      <c r="B103" s="24" t="s">
        <v>17</v>
      </c>
      <c r="C103" s="24" t="s">
        <v>73</v>
      </c>
      <c r="D103" s="24" t="s">
        <v>83</v>
      </c>
      <c r="E103" s="24"/>
      <c r="F103" s="25">
        <v>1769</v>
      </c>
      <c r="G103" s="15">
        <f t="shared" si="1"/>
        <v>13</v>
      </c>
      <c r="H103" s="26">
        <v>1782</v>
      </c>
      <c r="I103" s="26">
        <v>1696</v>
      </c>
      <c r="J103" s="27">
        <v>1763</v>
      </c>
    </row>
    <row r="104" spans="1:10" ht="38.25">
      <c r="A104" s="28" t="s">
        <v>84</v>
      </c>
      <c r="B104" s="29" t="s">
        <v>17</v>
      </c>
      <c r="C104" s="29" t="s">
        <v>73</v>
      </c>
      <c r="D104" s="29" t="s">
        <v>85</v>
      </c>
      <c r="E104" s="29"/>
      <c r="F104" s="30">
        <v>1769</v>
      </c>
      <c r="G104" s="15">
        <f t="shared" si="1"/>
        <v>13</v>
      </c>
      <c r="H104" s="31">
        <v>1782</v>
      </c>
      <c r="I104" s="31">
        <v>1696</v>
      </c>
      <c r="J104" s="32">
        <v>1763</v>
      </c>
    </row>
    <row r="105" spans="1:10" ht="38.25">
      <c r="A105" s="33" t="s">
        <v>86</v>
      </c>
      <c r="B105" s="34" t="s">
        <v>17</v>
      </c>
      <c r="C105" s="34" t="s">
        <v>73</v>
      </c>
      <c r="D105" s="34" t="s">
        <v>87</v>
      </c>
      <c r="E105" s="34"/>
      <c r="F105" s="30">
        <v>1769</v>
      </c>
      <c r="G105" s="15">
        <f t="shared" si="1"/>
        <v>13</v>
      </c>
      <c r="H105" s="31">
        <v>1782</v>
      </c>
      <c r="I105" s="31">
        <v>1696</v>
      </c>
      <c r="J105" s="32">
        <v>1763</v>
      </c>
    </row>
    <row r="106" spans="1:10" ht="38.25">
      <c r="A106" s="35" t="s">
        <v>406</v>
      </c>
      <c r="B106" s="39" t="s">
        <v>17</v>
      </c>
      <c r="C106" s="39" t="s">
        <v>73</v>
      </c>
      <c r="D106" s="39" t="s">
        <v>407</v>
      </c>
      <c r="E106" s="39"/>
      <c r="F106" s="30">
        <v>1769</v>
      </c>
      <c r="G106" s="15">
        <f t="shared" si="1"/>
        <v>13</v>
      </c>
      <c r="H106" s="31">
        <v>1782</v>
      </c>
      <c r="I106" s="31">
        <v>1696</v>
      </c>
      <c r="J106" s="32">
        <v>1763</v>
      </c>
    </row>
    <row r="107" spans="1:10" ht="89.25">
      <c r="A107" s="37" t="s">
        <v>462</v>
      </c>
      <c r="B107" s="40" t="s">
        <v>17</v>
      </c>
      <c r="C107" s="40" t="s">
        <v>73</v>
      </c>
      <c r="D107" s="40" t="s">
        <v>407</v>
      </c>
      <c r="E107" s="40" t="s">
        <v>28</v>
      </c>
      <c r="F107" s="30">
        <v>1600.5</v>
      </c>
      <c r="G107" s="15">
        <f t="shared" si="1"/>
        <v>154.4181900000001</v>
      </c>
      <c r="H107" s="31">
        <v>1754.9181900000001</v>
      </c>
      <c r="I107" s="31">
        <v>1571.8</v>
      </c>
      <c r="J107" s="32">
        <v>1634.3</v>
      </c>
    </row>
    <row r="108" spans="1:10" ht="51">
      <c r="A108" s="37" t="s">
        <v>481</v>
      </c>
      <c r="B108" s="40" t="s">
        <v>17</v>
      </c>
      <c r="C108" s="40" t="s">
        <v>73</v>
      </c>
      <c r="D108" s="40" t="s">
        <v>407</v>
      </c>
      <c r="E108" s="40" t="s">
        <v>34</v>
      </c>
      <c r="F108" s="30">
        <v>168.5</v>
      </c>
      <c r="G108" s="15">
        <f t="shared" si="1"/>
        <v>-141.41819000000001</v>
      </c>
      <c r="H108" s="31">
        <v>27.081810000000001</v>
      </c>
      <c r="I108" s="31">
        <v>124.2</v>
      </c>
      <c r="J108" s="32">
        <v>128.69999999999999</v>
      </c>
    </row>
    <row r="109" spans="1:10" ht="25.5">
      <c r="A109" s="23" t="s">
        <v>54</v>
      </c>
      <c r="B109" s="24" t="s">
        <v>17</v>
      </c>
      <c r="C109" s="24" t="s">
        <v>73</v>
      </c>
      <c r="D109" s="24" t="s">
        <v>55</v>
      </c>
      <c r="E109" s="24"/>
      <c r="F109" s="25">
        <f>12288.20258+1290</f>
        <v>13578.202579999999</v>
      </c>
      <c r="G109" s="15">
        <f t="shared" si="1"/>
        <v>-1024.9025799999999</v>
      </c>
      <c r="H109" s="26">
        <v>12553.3</v>
      </c>
      <c r="I109" s="26">
        <v>1000</v>
      </c>
      <c r="J109" s="27">
        <v>1000</v>
      </c>
    </row>
    <row r="110" spans="1:10" ht="25.5">
      <c r="A110" s="28" t="s">
        <v>88</v>
      </c>
      <c r="B110" s="29" t="s">
        <v>17</v>
      </c>
      <c r="C110" s="29" t="s">
        <v>73</v>
      </c>
      <c r="D110" s="29" t="s">
        <v>89</v>
      </c>
      <c r="E110" s="29"/>
      <c r="F110" s="30">
        <f>1025.20258+380+428</f>
        <v>1833.2025799999999</v>
      </c>
      <c r="G110" s="15">
        <f t="shared" si="1"/>
        <v>-1833.2025799999999</v>
      </c>
      <c r="H110" s="31">
        <v>0</v>
      </c>
      <c r="I110" s="31">
        <v>1000</v>
      </c>
      <c r="J110" s="32">
        <v>1000</v>
      </c>
    </row>
    <row r="111" spans="1:10" ht="25.5">
      <c r="A111" s="33" t="s">
        <v>90</v>
      </c>
      <c r="B111" s="34" t="s">
        <v>17</v>
      </c>
      <c r="C111" s="34" t="s">
        <v>73</v>
      </c>
      <c r="D111" s="34" t="s">
        <v>91</v>
      </c>
      <c r="E111" s="34"/>
      <c r="F111" s="30">
        <f>1025.20258+380+428</f>
        <v>1833.2025799999999</v>
      </c>
      <c r="G111" s="15">
        <f t="shared" si="1"/>
        <v>-1833.2025799999999</v>
      </c>
      <c r="H111" s="31">
        <v>0</v>
      </c>
      <c r="I111" s="31">
        <v>1000</v>
      </c>
      <c r="J111" s="32">
        <v>1000</v>
      </c>
    </row>
    <row r="112" spans="1:10" ht="63.75">
      <c r="A112" s="35" t="s">
        <v>92</v>
      </c>
      <c r="B112" s="39" t="s">
        <v>17</v>
      </c>
      <c r="C112" s="39" t="s">
        <v>73</v>
      </c>
      <c r="D112" s="39" t="s">
        <v>93</v>
      </c>
      <c r="E112" s="39"/>
      <c r="F112" s="30">
        <f>1025.20258+380+428</f>
        <v>1833.2025799999999</v>
      </c>
      <c r="G112" s="15">
        <f t="shared" si="1"/>
        <v>-1833.2025799999999</v>
      </c>
      <c r="H112" s="31">
        <v>0</v>
      </c>
      <c r="I112" s="31">
        <v>1000</v>
      </c>
      <c r="J112" s="32">
        <v>1000</v>
      </c>
    </row>
    <row r="113" spans="1:10" ht="63.75">
      <c r="A113" s="37" t="s">
        <v>572</v>
      </c>
      <c r="B113" s="40" t="s">
        <v>17</v>
      </c>
      <c r="C113" s="40" t="s">
        <v>73</v>
      </c>
      <c r="D113" s="40" t="s">
        <v>93</v>
      </c>
      <c r="E113" s="40" t="s">
        <v>51</v>
      </c>
      <c r="F113" s="41">
        <f>1025.20258+380+428</f>
        <v>1833.2025799999999</v>
      </c>
      <c r="G113" s="15">
        <f t="shared" si="1"/>
        <v>-1833.2025799999999</v>
      </c>
      <c r="H113" s="31">
        <v>0</v>
      </c>
      <c r="I113" s="31">
        <v>1000</v>
      </c>
      <c r="J113" s="32">
        <v>1000</v>
      </c>
    </row>
    <row r="114" spans="1:10" ht="25.5">
      <c r="A114" s="28" t="s">
        <v>56</v>
      </c>
      <c r="B114" s="29" t="s">
        <v>17</v>
      </c>
      <c r="C114" s="29" t="s">
        <v>73</v>
      </c>
      <c r="D114" s="29" t="s">
        <v>57</v>
      </c>
      <c r="E114" s="29"/>
      <c r="F114" s="30">
        <f>11263+1290</f>
        <v>12553</v>
      </c>
      <c r="G114" s="15">
        <f t="shared" si="1"/>
        <v>0.2999999999992724</v>
      </c>
      <c r="H114" s="31">
        <v>12553.3</v>
      </c>
      <c r="I114" s="31">
        <v>0</v>
      </c>
      <c r="J114" s="32">
        <v>0</v>
      </c>
    </row>
    <row r="115" spans="1:10" ht="25.5">
      <c r="A115" s="33" t="s">
        <v>94</v>
      </c>
      <c r="B115" s="34" t="s">
        <v>17</v>
      </c>
      <c r="C115" s="34" t="s">
        <v>73</v>
      </c>
      <c r="D115" s="34" t="s">
        <v>95</v>
      </c>
      <c r="E115" s="34"/>
      <c r="F115" s="41">
        <f>11263+1290</f>
        <v>12553</v>
      </c>
      <c r="G115" s="15">
        <f t="shared" si="1"/>
        <v>0.2999999999992724</v>
      </c>
      <c r="H115" s="31">
        <v>12553.3</v>
      </c>
      <c r="I115" s="31">
        <v>0</v>
      </c>
      <c r="J115" s="32">
        <v>0</v>
      </c>
    </row>
    <row r="116" spans="1:10" ht="51">
      <c r="A116" s="35" t="s">
        <v>645</v>
      </c>
      <c r="B116" s="36" t="s">
        <v>17</v>
      </c>
      <c r="C116" s="36" t="s">
        <v>73</v>
      </c>
      <c r="D116" s="36" t="s">
        <v>580</v>
      </c>
      <c r="E116" s="36"/>
      <c r="F116" s="30">
        <v>130.80000000000001</v>
      </c>
      <c r="G116" s="15">
        <f t="shared" si="1"/>
        <v>0.29999999999998295</v>
      </c>
      <c r="H116" s="31">
        <v>131.1</v>
      </c>
      <c r="I116" s="31">
        <v>0</v>
      </c>
      <c r="J116" s="32">
        <v>0</v>
      </c>
    </row>
    <row r="117" spans="1:10" ht="51">
      <c r="A117" s="37" t="s">
        <v>721</v>
      </c>
      <c r="B117" s="38" t="s">
        <v>17</v>
      </c>
      <c r="C117" s="38" t="s">
        <v>73</v>
      </c>
      <c r="D117" s="38" t="s">
        <v>580</v>
      </c>
      <c r="E117" s="38" t="s">
        <v>51</v>
      </c>
      <c r="F117" s="30">
        <v>130.80000000000001</v>
      </c>
      <c r="G117" s="15">
        <f t="shared" si="1"/>
        <v>0.29999999999998295</v>
      </c>
      <c r="H117" s="31">
        <v>131.1</v>
      </c>
      <c r="I117" s="31">
        <v>0</v>
      </c>
      <c r="J117" s="32">
        <v>0</v>
      </c>
    </row>
    <row r="118" spans="1:10" ht="63.75">
      <c r="A118" s="35" t="s">
        <v>45</v>
      </c>
      <c r="B118" s="39" t="s">
        <v>17</v>
      </c>
      <c r="C118" s="39" t="s">
        <v>73</v>
      </c>
      <c r="D118" s="39" t="s">
        <v>408</v>
      </c>
      <c r="E118" s="39"/>
      <c r="F118" s="30">
        <f>532.96852+28</f>
        <v>560.96852000000001</v>
      </c>
      <c r="G118" s="15">
        <f t="shared" si="1"/>
        <v>-11.968520000000012</v>
      </c>
      <c r="H118" s="31">
        <v>549</v>
      </c>
      <c r="I118" s="31">
        <v>0</v>
      </c>
      <c r="J118" s="32">
        <v>0</v>
      </c>
    </row>
    <row r="119" spans="1:10" ht="114.75">
      <c r="A119" s="37" t="s">
        <v>463</v>
      </c>
      <c r="B119" s="40" t="s">
        <v>17</v>
      </c>
      <c r="C119" s="40" t="s">
        <v>73</v>
      </c>
      <c r="D119" s="40" t="s">
        <v>408</v>
      </c>
      <c r="E119" s="40" t="s">
        <v>28</v>
      </c>
      <c r="F119" s="30">
        <f>512.96852+28</f>
        <v>540.96852000000001</v>
      </c>
      <c r="G119" s="15">
        <f t="shared" si="1"/>
        <v>-11.968520000000012</v>
      </c>
      <c r="H119" s="31">
        <v>529</v>
      </c>
      <c r="I119" s="31">
        <v>0</v>
      </c>
      <c r="J119" s="32">
        <v>0</v>
      </c>
    </row>
    <row r="120" spans="1:10" ht="76.5">
      <c r="A120" s="37" t="s">
        <v>714</v>
      </c>
      <c r="B120" s="40" t="s">
        <v>17</v>
      </c>
      <c r="C120" s="40" t="s">
        <v>73</v>
      </c>
      <c r="D120" s="40" t="s">
        <v>408</v>
      </c>
      <c r="E120" s="40" t="s">
        <v>34</v>
      </c>
      <c r="F120" s="30">
        <v>20</v>
      </c>
      <c r="G120" s="15">
        <f t="shared" si="1"/>
        <v>0</v>
      </c>
      <c r="H120" s="31">
        <v>20</v>
      </c>
      <c r="I120" s="31">
        <v>0</v>
      </c>
      <c r="J120" s="32">
        <v>0</v>
      </c>
    </row>
    <row r="121" spans="1:10" ht="51">
      <c r="A121" s="35" t="s">
        <v>96</v>
      </c>
      <c r="B121" s="39" t="s">
        <v>17</v>
      </c>
      <c r="C121" s="39" t="s">
        <v>73</v>
      </c>
      <c r="D121" s="39" t="s">
        <v>97</v>
      </c>
      <c r="E121" s="39"/>
      <c r="F121" s="30">
        <f>10599.23148+1262</f>
        <v>11861.23148</v>
      </c>
      <c r="G121" s="15">
        <f t="shared" si="1"/>
        <v>11.968520000000353</v>
      </c>
      <c r="H121" s="31">
        <v>11873.2</v>
      </c>
      <c r="I121" s="31">
        <v>0</v>
      </c>
      <c r="J121" s="32">
        <v>0</v>
      </c>
    </row>
    <row r="122" spans="1:10" ht="102">
      <c r="A122" s="37" t="s">
        <v>464</v>
      </c>
      <c r="B122" s="40" t="s">
        <v>17</v>
      </c>
      <c r="C122" s="40" t="s">
        <v>73</v>
      </c>
      <c r="D122" s="40" t="s">
        <v>97</v>
      </c>
      <c r="E122" s="40" t="s">
        <v>28</v>
      </c>
      <c r="F122" s="30">
        <f>10274.23148+712</f>
        <v>10986.23148</v>
      </c>
      <c r="G122" s="15">
        <f t="shared" si="1"/>
        <v>5.1855299999988347</v>
      </c>
      <c r="H122" s="31">
        <v>10991.417009999999</v>
      </c>
      <c r="I122" s="31">
        <v>0</v>
      </c>
      <c r="J122" s="32">
        <v>0</v>
      </c>
    </row>
    <row r="123" spans="1:10" ht="63.75">
      <c r="A123" s="37" t="s">
        <v>715</v>
      </c>
      <c r="B123" s="40" t="s">
        <v>17</v>
      </c>
      <c r="C123" s="40" t="s">
        <v>73</v>
      </c>
      <c r="D123" s="40" t="s">
        <v>97</v>
      </c>
      <c r="E123" s="40" t="s">
        <v>34</v>
      </c>
      <c r="F123" s="30">
        <f>325+550</f>
        <v>875</v>
      </c>
      <c r="G123" s="15">
        <f t="shared" si="1"/>
        <v>6.7829900000000407</v>
      </c>
      <c r="H123" s="31">
        <v>881.78299000000004</v>
      </c>
      <c r="I123" s="31">
        <v>0</v>
      </c>
      <c r="J123" s="32">
        <v>0</v>
      </c>
    </row>
    <row r="124" spans="1:10" ht="51">
      <c r="A124" s="23" t="s">
        <v>98</v>
      </c>
      <c r="B124" s="24" t="s">
        <v>17</v>
      </c>
      <c r="C124" s="24" t="s">
        <v>73</v>
      </c>
      <c r="D124" s="24" t="s">
        <v>99</v>
      </c>
      <c r="E124" s="24"/>
      <c r="F124" s="25">
        <f>2344.65+61.6</f>
        <v>2406.25</v>
      </c>
      <c r="G124" s="15">
        <f t="shared" si="1"/>
        <v>126.52550000000019</v>
      </c>
      <c r="H124" s="26">
        <v>2532.7755000000002</v>
      </c>
      <c r="I124" s="26">
        <v>1224.3</v>
      </c>
      <c r="J124" s="27">
        <v>1277.5</v>
      </c>
    </row>
    <row r="125" spans="1:10" ht="38.25">
      <c r="A125" s="51" t="s">
        <v>100</v>
      </c>
      <c r="B125" s="52" t="s">
        <v>17</v>
      </c>
      <c r="C125" s="52" t="s">
        <v>73</v>
      </c>
      <c r="D125" s="52" t="s">
        <v>101</v>
      </c>
      <c r="E125" s="52"/>
      <c r="F125" s="30">
        <v>1076.1500000000001</v>
      </c>
      <c r="G125" s="15">
        <f t="shared" si="1"/>
        <v>126.52549999999997</v>
      </c>
      <c r="H125" s="31">
        <v>1202.6755000000001</v>
      </c>
      <c r="I125" s="31">
        <v>0</v>
      </c>
      <c r="J125" s="32">
        <v>0</v>
      </c>
    </row>
    <row r="126" spans="1:10" ht="38.25">
      <c r="A126" s="53" t="s">
        <v>102</v>
      </c>
      <c r="B126" s="54" t="s">
        <v>17</v>
      </c>
      <c r="C126" s="54" t="s">
        <v>73</v>
      </c>
      <c r="D126" s="54" t="s">
        <v>103</v>
      </c>
      <c r="E126" s="54"/>
      <c r="F126" s="30">
        <v>1076.1500000000001</v>
      </c>
      <c r="G126" s="15">
        <f t="shared" si="1"/>
        <v>126.52549999999997</v>
      </c>
      <c r="H126" s="31">
        <v>1202.6755000000001</v>
      </c>
      <c r="I126" s="31">
        <v>0</v>
      </c>
      <c r="J126" s="32">
        <v>0</v>
      </c>
    </row>
    <row r="127" spans="1:10" ht="89.25">
      <c r="A127" s="55" t="s">
        <v>582</v>
      </c>
      <c r="B127" s="56" t="s">
        <v>17</v>
      </c>
      <c r="C127" s="56" t="s">
        <v>73</v>
      </c>
      <c r="D127" s="56" t="s">
        <v>581</v>
      </c>
      <c r="E127" s="56"/>
      <c r="F127" s="30">
        <v>76.150000000000006</v>
      </c>
      <c r="G127" s="15">
        <f t="shared" si="1"/>
        <v>126.52549999999999</v>
      </c>
      <c r="H127" s="31">
        <v>202.6755</v>
      </c>
      <c r="I127" s="31">
        <v>0</v>
      </c>
      <c r="J127" s="32">
        <v>0</v>
      </c>
    </row>
    <row r="128" spans="1:10" ht="102">
      <c r="A128" s="57" t="s">
        <v>583</v>
      </c>
      <c r="B128" s="58" t="s">
        <v>17</v>
      </c>
      <c r="C128" s="58" t="s">
        <v>73</v>
      </c>
      <c r="D128" s="58" t="s">
        <v>581</v>
      </c>
      <c r="E128" s="58" t="s">
        <v>34</v>
      </c>
      <c r="F128" s="30">
        <v>76.150000000000006</v>
      </c>
      <c r="G128" s="15">
        <f t="shared" si="1"/>
        <v>126.52549999999999</v>
      </c>
      <c r="H128" s="31">
        <v>202.6755</v>
      </c>
      <c r="I128" s="31">
        <v>0</v>
      </c>
      <c r="J128" s="32">
        <v>0</v>
      </c>
    </row>
    <row r="129" spans="1:10">
      <c r="A129" s="57" t="s">
        <v>585</v>
      </c>
      <c r="B129" s="58" t="s">
        <v>17</v>
      </c>
      <c r="C129" s="58" t="s">
        <v>73</v>
      </c>
      <c r="D129" s="58" t="s">
        <v>584</v>
      </c>
      <c r="E129" s="58"/>
      <c r="F129" s="30">
        <v>1000</v>
      </c>
      <c r="G129" s="15">
        <f t="shared" si="1"/>
        <v>0</v>
      </c>
      <c r="H129" s="31">
        <v>1000</v>
      </c>
      <c r="I129" s="31">
        <v>0</v>
      </c>
      <c r="J129" s="32">
        <v>0</v>
      </c>
    </row>
    <row r="130" spans="1:10" ht="25.5">
      <c r="A130" s="57" t="s">
        <v>586</v>
      </c>
      <c r="B130" s="58" t="s">
        <v>17</v>
      </c>
      <c r="C130" s="58" t="s">
        <v>73</v>
      </c>
      <c r="D130" s="58" t="s">
        <v>584</v>
      </c>
      <c r="E130" s="58" t="s">
        <v>48</v>
      </c>
      <c r="F130" s="30">
        <v>1000</v>
      </c>
      <c r="G130" s="15">
        <f t="shared" si="1"/>
        <v>0</v>
      </c>
      <c r="H130" s="31">
        <v>1000</v>
      </c>
      <c r="I130" s="31">
        <v>0</v>
      </c>
      <c r="J130" s="32">
        <v>0</v>
      </c>
    </row>
    <row r="131" spans="1:10" ht="25.5">
      <c r="A131" s="28" t="s">
        <v>56</v>
      </c>
      <c r="B131" s="29" t="s">
        <v>17</v>
      </c>
      <c r="C131" s="29" t="s">
        <v>73</v>
      </c>
      <c r="D131" s="29" t="s">
        <v>104</v>
      </c>
      <c r="E131" s="29"/>
      <c r="F131" s="30">
        <f>1268.5+61.6</f>
        <v>1330.1</v>
      </c>
      <c r="G131" s="15">
        <f t="shared" si="1"/>
        <v>0</v>
      </c>
      <c r="H131" s="31">
        <v>1330.1</v>
      </c>
      <c r="I131" s="31">
        <v>1224.3</v>
      </c>
      <c r="J131" s="32">
        <v>1277.5</v>
      </c>
    </row>
    <row r="132" spans="1:10" ht="25.5">
      <c r="A132" s="33" t="s">
        <v>105</v>
      </c>
      <c r="B132" s="34" t="s">
        <v>17</v>
      </c>
      <c r="C132" s="34" t="s">
        <v>73</v>
      </c>
      <c r="D132" s="34" t="s">
        <v>106</v>
      </c>
      <c r="E132" s="34"/>
      <c r="F132" s="30">
        <f>1268.5+61.6</f>
        <v>1330.1</v>
      </c>
      <c r="G132" s="15">
        <f t="shared" si="1"/>
        <v>0</v>
      </c>
      <c r="H132" s="31">
        <v>1330.1</v>
      </c>
      <c r="I132" s="31">
        <v>1224.3</v>
      </c>
      <c r="J132" s="32">
        <v>1277.5</v>
      </c>
    </row>
    <row r="133" spans="1:10" ht="76.5">
      <c r="A133" s="35" t="s">
        <v>107</v>
      </c>
      <c r="B133" s="39" t="s">
        <v>17</v>
      </c>
      <c r="C133" s="39" t="s">
        <v>73</v>
      </c>
      <c r="D133" s="39" t="s">
        <v>108</v>
      </c>
      <c r="E133" s="39"/>
      <c r="F133" s="30">
        <f>1268.5+61.6</f>
        <v>1330.1</v>
      </c>
      <c r="G133" s="15">
        <f t="shared" si="1"/>
        <v>0</v>
      </c>
      <c r="H133" s="31">
        <v>1330.1</v>
      </c>
      <c r="I133" s="31">
        <v>1224.3</v>
      </c>
      <c r="J133" s="32">
        <v>1277.5</v>
      </c>
    </row>
    <row r="134" spans="1:10" ht="100.5" customHeight="1">
      <c r="A134" s="37" t="s">
        <v>526</v>
      </c>
      <c r="B134" s="40" t="s">
        <v>17</v>
      </c>
      <c r="C134" s="40" t="s">
        <v>73</v>
      </c>
      <c r="D134" s="40" t="s">
        <v>108</v>
      </c>
      <c r="E134" s="40" t="s">
        <v>48</v>
      </c>
      <c r="F134" s="30">
        <v>44.2</v>
      </c>
      <c r="G134" s="15">
        <f t="shared" si="1"/>
        <v>0</v>
      </c>
      <c r="H134" s="31">
        <v>44.2</v>
      </c>
      <c r="I134" s="31">
        <v>0</v>
      </c>
      <c r="J134" s="32">
        <v>0</v>
      </c>
    </row>
    <row r="135" spans="1:10" ht="102">
      <c r="A135" s="37" t="s">
        <v>544</v>
      </c>
      <c r="B135" s="40" t="s">
        <v>17</v>
      </c>
      <c r="C135" s="40" t="s">
        <v>73</v>
      </c>
      <c r="D135" s="40" t="s">
        <v>108</v>
      </c>
      <c r="E135" s="40" t="s">
        <v>109</v>
      </c>
      <c r="F135" s="30">
        <f>1224.3+61.6</f>
        <v>1285.8999999999999</v>
      </c>
      <c r="G135" s="15">
        <f t="shared" si="1"/>
        <v>2.2737367544323206E-13</v>
      </c>
      <c r="H135" s="31">
        <v>1285.9000000000001</v>
      </c>
      <c r="I135" s="31">
        <v>1224.3</v>
      </c>
      <c r="J135" s="32">
        <v>1277.5</v>
      </c>
    </row>
    <row r="136" spans="1:10" ht="51">
      <c r="A136" s="23" t="s">
        <v>66</v>
      </c>
      <c r="B136" s="24" t="s">
        <v>17</v>
      </c>
      <c r="C136" s="24" t="s">
        <v>73</v>
      </c>
      <c r="D136" s="24" t="s">
        <v>67</v>
      </c>
      <c r="E136" s="24"/>
      <c r="F136" s="25">
        <f>5229+245.4</f>
        <v>5474.4</v>
      </c>
      <c r="G136" s="15">
        <f t="shared" si="1"/>
        <v>403.92848000000049</v>
      </c>
      <c r="H136" s="26">
        <v>5878.3284800000001</v>
      </c>
      <c r="I136" s="26">
        <v>4587.2</v>
      </c>
      <c r="J136" s="27">
        <v>4680.5</v>
      </c>
    </row>
    <row r="137" spans="1:10" ht="25.5">
      <c r="A137" s="33" t="s">
        <v>68</v>
      </c>
      <c r="B137" s="50" t="s">
        <v>17</v>
      </c>
      <c r="C137" s="50" t="s">
        <v>73</v>
      </c>
      <c r="D137" s="50" t="s">
        <v>69</v>
      </c>
      <c r="E137" s="50"/>
      <c r="F137" s="30">
        <v>199</v>
      </c>
      <c r="G137" s="15">
        <f t="shared" si="1"/>
        <v>0</v>
      </c>
      <c r="H137" s="31">
        <v>199</v>
      </c>
      <c r="I137" s="31">
        <v>0</v>
      </c>
      <c r="J137" s="32">
        <v>0</v>
      </c>
    </row>
    <row r="138" spans="1:10" ht="51">
      <c r="A138" s="35" t="s">
        <v>722</v>
      </c>
      <c r="B138" s="36" t="s">
        <v>17</v>
      </c>
      <c r="C138" s="36" t="s">
        <v>73</v>
      </c>
      <c r="D138" s="36" t="s">
        <v>636</v>
      </c>
      <c r="E138" s="36"/>
      <c r="F138" s="30">
        <v>199</v>
      </c>
      <c r="G138" s="15">
        <f t="shared" si="1"/>
        <v>0</v>
      </c>
      <c r="H138" s="31">
        <v>199</v>
      </c>
      <c r="I138" s="31">
        <v>0</v>
      </c>
      <c r="J138" s="32">
        <v>0</v>
      </c>
    </row>
    <row r="139" spans="1:10" ht="76.5">
      <c r="A139" s="37" t="s">
        <v>684</v>
      </c>
      <c r="B139" s="38" t="s">
        <v>17</v>
      </c>
      <c r="C139" s="38" t="s">
        <v>73</v>
      </c>
      <c r="D139" s="38" t="s">
        <v>636</v>
      </c>
      <c r="E139" s="38" t="s">
        <v>34</v>
      </c>
      <c r="F139" s="30">
        <v>199</v>
      </c>
      <c r="G139" s="15">
        <f t="shared" si="1"/>
        <v>0</v>
      </c>
      <c r="H139" s="31">
        <v>199</v>
      </c>
      <c r="I139" s="31">
        <v>0</v>
      </c>
      <c r="J139" s="32">
        <v>0</v>
      </c>
    </row>
    <row r="140" spans="1:10" ht="25.5">
      <c r="A140" s="33" t="s">
        <v>110</v>
      </c>
      <c r="B140" s="34" t="s">
        <v>17</v>
      </c>
      <c r="C140" s="34" t="s">
        <v>73</v>
      </c>
      <c r="D140" s="34" t="s">
        <v>111</v>
      </c>
      <c r="E140" s="34"/>
      <c r="F140" s="30">
        <v>240</v>
      </c>
      <c r="G140" s="15">
        <f t="shared" si="1"/>
        <v>94.510119999999972</v>
      </c>
      <c r="H140" s="31">
        <v>334.51011999999997</v>
      </c>
      <c r="I140" s="31">
        <v>50</v>
      </c>
      <c r="J140" s="32">
        <v>50</v>
      </c>
    </row>
    <row r="141" spans="1:10" ht="51">
      <c r="A141" s="35" t="s">
        <v>112</v>
      </c>
      <c r="B141" s="39" t="s">
        <v>17</v>
      </c>
      <c r="C141" s="39" t="s">
        <v>73</v>
      </c>
      <c r="D141" s="39" t="s">
        <v>113</v>
      </c>
      <c r="E141" s="39"/>
      <c r="F141" s="30">
        <v>240</v>
      </c>
      <c r="G141" s="15">
        <f t="shared" si="1"/>
        <v>94.510119999999972</v>
      </c>
      <c r="H141" s="31">
        <v>334.51011999999997</v>
      </c>
      <c r="I141" s="31">
        <v>50</v>
      </c>
      <c r="J141" s="32">
        <v>50</v>
      </c>
    </row>
    <row r="142" spans="1:10" ht="76.5">
      <c r="A142" s="37" t="s">
        <v>482</v>
      </c>
      <c r="B142" s="40" t="s">
        <v>17</v>
      </c>
      <c r="C142" s="40" t="s">
        <v>73</v>
      </c>
      <c r="D142" s="40" t="s">
        <v>113</v>
      </c>
      <c r="E142" s="40" t="s">
        <v>34</v>
      </c>
      <c r="F142" s="30">
        <v>240</v>
      </c>
      <c r="G142" s="15">
        <f t="shared" si="1"/>
        <v>94.510119999999972</v>
      </c>
      <c r="H142" s="31">
        <v>334.51011999999997</v>
      </c>
      <c r="I142" s="31">
        <v>0</v>
      </c>
      <c r="J142" s="32">
        <v>0</v>
      </c>
    </row>
    <row r="143" spans="1:10" ht="63.75">
      <c r="A143" s="37" t="s">
        <v>573</v>
      </c>
      <c r="B143" s="40" t="s">
        <v>17</v>
      </c>
      <c r="C143" s="40" t="s">
        <v>73</v>
      </c>
      <c r="D143" s="40" t="s">
        <v>113</v>
      </c>
      <c r="E143" s="40" t="s">
        <v>51</v>
      </c>
      <c r="F143" s="30">
        <v>0</v>
      </c>
      <c r="G143" s="15">
        <f t="shared" si="1"/>
        <v>0</v>
      </c>
      <c r="H143" s="31">
        <v>0</v>
      </c>
      <c r="I143" s="31">
        <v>50</v>
      </c>
      <c r="J143" s="32">
        <v>50</v>
      </c>
    </row>
    <row r="144" spans="1:10" ht="38.25">
      <c r="A144" s="33" t="s">
        <v>114</v>
      </c>
      <c r="B144" s="34" t="s">
        <v>17</v>
      </c>
      <c r="C144" s="34" t="s">
        <v>73</v>
      </c>
      <c r="D144" s="34" t="s">
        <v>115</v>
      </c>
      <c r="E144" s="34"/>
      <c r="F144" s="30">
        <f>4790+245.4</f>
        <v>5035.3999999999996</v>
      </c>
      <c r="G144" s="15">
        <f t="shared" ref="G144:G223" si="2">SUM(H144-F144)</f>
        <v>309.41836000000058</v>
      </c>
      <c r="H144" s="31">
        <v>5344.8183600000002</v>
      </c>
      <c r="I144" s="31">
        <v>4537.2</v>
      </c>
      <c r="J144" s="32">
        <v>4630.5</v>
      </c>
    </row>
    <row r="145" spans="1:10">
      <c r="A145" s="79" t="s">
        <v>601</v>
      </c>
      <c r="B145" s="43" t="s">
        <v>17</v>
      </c>
      <c r="C145" s="43" t="s">
        <v>73</v>
      </c>
      <c r="D145" s="43" t="s">
        <v>691</v>
      </c>
      <c r="E145" s="43"/>
      <c r="F145" s="30">
        <v>0</v>
      </c>
      <c r="G145" s="15">
        <f t="shared" si="2"/>
        <v>122.61272</v>
      </c>
      <c r="H145" s="31">
        <v>122.61272</v>
      </c>
      <c r="I145" s="31">
        <v>0</v>
      </c>
      <c r="J145" s="32">
        <v>0</v>
      </c>
    </row>
    <row r="146" spans="1:10" ht="63.75">
      <c r="A146" s="80" t="s">
        <v>704</v>
      </c>
      <c r="B146" s="44" t="s">
        <v>17</v>
      </c>
      <c r="C146" s="44" t="s">
        <v>73</v>
      </c>
      <c r="D146" s="44" t="s">
        <v>691</v>
      </c>
      <c r="E146" s="44" t="s">
        <v>28</v>
      </c>
      <c r="F146" s="30">
        <v>0</v>
      </c>
      <c r="G146" s="15">
        <f t="shared" si="2"/>
        <v>122.61272</v>
      </c>
      <c r="H146" s="31">
        <v>122.61272</v>
      </c>
      <c r="I146" s="31">
        <v>0</v>
      </c>
      <c r="J146" s="32">
        <v>0</v>
      </c>
    </row>
    <row r="147" spans="1:10" ht="63.75">
      <c r="A147" s="35" t="s">
        <v>116</v>
      </c>
      <c r="B147" s="39" t="s">
        <v>17</v>
      </c>
      <c r="C147" s="39" t="s">
        <v>73</v>
      </c>
      <c r="D147" s="39" t="s">
        <v>117</v>
      </c>
      <c r="E147" s="39"/>
      <c r="F147" s="30">
        <f>4790+245.4</f>
        <v>5035.3999999999996</v>
      </c>
      <c r="G147" s="15">
        <f t="shared" si="2"/>
        <v>186.80564000000049</v>
      </c>
      <c r="H147" s="31">
        <v>5222.2056400000001</v>
      </c>
      <c r="I147" s="31">
        <v>4537.2</v>
      </c>
      <c r="J147" s="32">
        <v>4630.5</v>
      </c>
    </row>
    <row r="148" spans="1:10" ht="114.75">
      <c r="A148" s="37" t="s">
        <v>465</v>
      </c>
      <c r="B148" s="40" t="s">
        <v>17</v>
      </c>
      <c r="C148" s="40" t="s">
        <v>73</v>
      </c>
      <c r="D148" s="40" t="s">
        <v>117</v>
      </c>
      <c r="E148" s="40" t="s">
        <v>28</v>
      </c>
      <c r="F148" s="41">
        <f>4467.4+245.4</f>
        <v>4712.7999999999993</v>
      </c>
      <c r="G148" s="15">
        <f t="shared" si="2"/>
        <v>374.06063000000086</v>
      </c>
      <c r="H148" s="31">
        <v>5086.8606300000001</v>
      </c>
      <c r="I148" s="31">
        <v>4313.8</v>
      </c>
      <c r="J148" s="32">
        <v>4356.8999999999996</v>
      </c>
    </row>
    <row r="149" spans="1:10" ht="50.25" customHeight="1">
      <c r="A149" s="37" t="s">
        <v>483</v>
      </c>
      <c r="B149" s="40" t="s">
        <v>17</v>
      </c>
      <c r="C149" s="40" t="s">
        <v>73</v>
      </c>
      <c r="D149" s="40" t="s">
        <v>117</v>
      </c>
      <c r="E149" s="40" t="s">
        <v>34</v>
      </c>
      <c r="F149" s="30">
        <v>319.60000000000002</v>
      </c>
      <c r="G149" s="15">
        <f t="shared" si="2"/>
        <v>-184.25499000000002</v>
      </c>
      <c r="H149" s="31">
        <v>135.34501</v>
      </c>
      <c r="I149" s="31">
        <v>220.4</v>
      </c>
      <c r="J149" s="32">
        <v>270.60000000000002</v>
      </c>
    </row>
    <row r="150" spans="1:10" ht="63.75">
      <c r="A150" s="37" t="s">
        <v>574</v>
      </c>
      <c r="B150" s="40" t="s">
        <v>17</v>
      </c>
      <c r="C150" s="40" t="s">
        <v>73</v>
      </c>
      <c r="D150" s="40" t="s">
        <v>117</v>
      </c>
      <c r="E150" s="40" t="s">
        <v>51</v>
      </c>
      <c r="F150" s="30">
        <v>3</v>
      </c>
      <c r="G150" s="15">
        <f t="shared" si="2"/>
        <v>-3</v>
      </c>
      <c r="H150" s="31">
        <v>0</v>
      </c>
      <c r="I150" s="31">
        <v>3</v>
      </c>
      <c r="J150" s="32">
        <v>3</v>
      </c>
    </row>
    <row r="151" spans="1:10" ht="32.25" customHeight="1">
      <c r="A151" s="23" t="s">
        <v>118</v>
      </c>
      <c r="B151" s="24" t="s">
        <v>17</v>
      </c>
      <c r="C151" s="24" t="s">
        <v>73</v>
      </c>
      <c r="D151" s="24" t="s">
        <v>119</v>
      </c>
      <c r="E151" s="24"/>
      <c r="F151" s="25">
        <v>90</v>
      </c>
      <c r="G151" s="15">
        <f t="shared" si="2"/>
        <v>-80</v>
      </c>
      <c r="H151" s="26">
        <v>10</v>
      </c>
      <c r="I151" s="26">
        <v>90</v>
      </c>
      <c r="J151" s="27">
        <v>90</v>
      </c>
    </row>
    <row r="152" spans="1:10" ht="25.5">
      <c r="A152" s="33" t="s">
        <v>120</v>
      </c>
      <c r="B152" s="34" t="s">
        <v>17</v>
      </c>
      <c r="C152" s="34" t="s">
        <v>73</v>
      </c>
      <c r="D152" s="34" t="s">
        <v>121</v>
      </c>
      <c r="E152" s="34"/>
      <c r="F152" s="30">
        <v>30</v>
      </c>
      <c r="G152" s="15">
        <f t="shared" si="2"/>
        <v>-20</v>
      </c>
      <c r="H152" s="31">
        <v>10</v>
      </c>
      <c r="I152" s="31">
        <v>30</v>
      </c>
      <c r="J152" s="32">
        <v>30</v>
      </c>
    </row>
    <row r="153" spans="1:10">
      <c r="A153" s="35" t="s">
        <v>122</v>
      </c>
      <c r="B153" s="39" t="s">
        <v>17</v>
      </c>
      <c r="C153" s="39" t="s">
        <v>73</v>
      </c>
      <c r="D153" s="39" t="s">
        <v>123</v>
      </c>
      <c r="E153" s="39"/>
      <c r="F153" s="30">
        <v>30</v>
      </c>
      <c r="G153" s="15">
        <f t="shared" si="2"/>
        <v>-20</v>
      </c>
      <c r="H153" s="31">
        <v>10</v>
      </c>
      <c r="I153" s="31">
        <v>30</v>
      </c>
      <c r="J153" s="32">
        <v>30</v>
      </c>
    </row>
    <row r="154" spans="1:10" ht="38.25">
      <c r="A154" s="37" t="s">
        <v>484</v>
      </c>
      <c r="B154" s="40" t="s">
        <v>17</v>
      </c>
      <c r="C154" s="40" t="s">
        <v>73</v>
      </c>
      <c r="D154" s="40" t="s">
        <v>123</v>
      </c>
      <c r="E154" s="40" t="s">
        <v>34</v>
      </c>
      <c r="F154" s="30">
        <v>30</v>
      </c>
      <c r="G154" s="15">
        <f t="shared" si="2"/>
        <v>-20</v>
      </c>
      <c r="H154" s="31">
        <v>10</v>
      </c>
      <c r="I154" s="31">
        <v>30</v>
      </c>
      <c r="J154" s="32">
        <v>30</v>
      </c>
    </row>
    <row r="155" spans="1:10" ht="25.5">
      <c r="A155" s="33" t="s">
        <v>124</v>
      </c>
      <c r="B155" s="34" t="s">
        <v>17</v>
      </c>
      <c r="C155" s="34" t="s">
        <v>73</v>
      </c>
      <c r="D155" s="34" t="s">
        <v>125</v>
      </c>
      <c r="E155" s="34"/>
      <c r="F155" s="30">
        <v>30</v>
      </c>
      <c r="G155" s="15">
        <f t="shared" si="2"/>
        <v>-30</v>
      </c>
      <c r="H155" s="31">
        <v>0</v>
      </c>
      <c r="I155" s="31">
        <v>30</v>
      </c>
      <c r="J155" s="32">
        <v>30</v>
      </c>
    </row>
    <row r="156" spans="1:10" ht="25.5">
      <c r="A156" s="35" t="s">
        <v>126</v>
      </c>
      <c r="B156" s="39" t="s">
        <v>17</v>
      </c>
      <c r="C156" s="39" t="s">
        <v>73</v>
      </c>
      <c r="D156" s="39" t="s">
        <v>127</v>
      </c>
      <c r="E156" s="39"/>
      <c r="F156" s="30">
        <v>30</v>
      </c>
      <c r="G156" s="15">
        <f t="shared" si="2"/>
        <v>-30</v>
      </c>
      <c r="H156" s="31">
        <v>0</v>
      </c>
      <c r="I156" s="31">
        <v>30</v>
      </c>
      <c r="J156" s="32">
        <v>30</v>
      </c>
    </row>
    <row r="157" spans="1:10" ht="38.25">
      <c r="A157" s="37" t="s">
        <v>485</v>
      </c>
      <c r="B157" s="40" t="s">
        <v>17</v>
      </c>
      <c r="C157" s="40" t="s">
        <v>73</v>
      </c>
      <c r="D157" s="40" t="s">
        <v>127</v>
      </c>
      <c r="E157" s="40" t="s">
        <v>34</v>
      </c>
      <c r="F157" s="30">
        <v>30</v>
      </c>
      <c r="G157" s="15">
        <f t="shared" si="2"/>
        <v>-30</v>
      </c>
      <c r="H157" s="31">
        <v>0</v>
      </c>
      <c r="I157" s="31">
        <v>30</v>
      </c>
      <c r="J157" s="32">
        <v>30</v>
      </c>
    </row>
    <row r="158" spans="1:10">
      <c r="A158" s="33" t="s">
        <v>128</v>
      </c>
      <c r="B158" s="34" t="s">
        <v>17</v>
      </c>
      <c r="C158" s="34" t="s">
        <v>73</v>
      </c>
      <c r="D158" s="34" t="s">
        <v>129</v>
      </c>
      <c r="E158" s="34"/>
      <c r="F158" s="30">
        <v>30</v>
      </c>
      <c r="G158" s="15">
        <f t="shared" si="2"/>
        <v>-30</v>
      </c>
      <c r="H158" s="31">
        <v>0</v>
      </c>
      <c r="I158" s="31">
        <v>30</v>
      </c>
      <c r="J158" s="32">
        <v>30</v>
      </c>
    </row>
    <row r="159" spans="1:10">
      <c r="A159" s="35" t="s">
        <v>130</v>
      </c>
      <c r="B159" s="39" t="s">
        <v>17</v>
      </c>
      <c r="C159" s="39" t="s">
        <v>73</v>
      </c>
      <c r="D159" s="39" t="s">
        <v>131</v>
      </c>
      <c r="E159" s="39"/>
      <c r="F159" s="30">
        <v>30</v>
      </c>
      <c r="G159" s="15">
        <f t="shared" si="2"/>
        <v>-30</v>
      </c>
      <c r="H159" s="31">
        <v>0</v>
      </c>
      <c r="I159" s="31">
        <v>30</v>
      </c>
      <c r="J159" s="32">
        <v>30</v>
      </c>
    </row>
    <row r="160" spans="1:10" ht="25.5">
      <c r="A160" s="37" t="s">
        <v>486</v>
      </c>
      <c r="B160" s="40" t="s">
        <v>17</v>
      </c>
      <c r="C160" s="40" t="s">
        <v>73</v>
      </c>
      <c r="D160" s="40" t="s">
        <v>131</v>
      </c>
      <c r="E160" s="40" t="s">
        <v>34</v>
      </c>
      <c r="F160" s="30">
        <v>30</v>
      </c>
      <c r="G160" s="15">
        <f t="shared" si="2"/>
        <v>-30</v>
      </c>
      <c r="H160" s="31">
        <v>0</v>
      </c>
      <c r="I160" s="31">
        <v>30</v>
      </c>
      <c r="J160" s="32">
        <v>30</v>
      </c>
    </row>
    <row r="161" spans="1:10" ht="30">
      <c r="A161" s="12" t="s">
        <v>132</v>
      </c>
      <c r="B161" s="13" t="s">
        <v>133</v>
      </c>
      <c r="C161" s="13"/>
      <c r="D161" s="13"/>
      <c r="E161" s="13"/>
      <c r="F161" s="14">
        <f>220.55218+50</f>
        <v>270.55218000000002</v>
      </c>
      <c r="G161" s="15">
        <f t="shared" si="2"/>
        <v>635.29499999999996</v>
      </c>
      <c r="H161" s="16">
        <v>905.84717999999998</v>
      </c>
      <c r="I161" s="16">
        <v>0</v>
      </c>
      <c r="J161" s="17">
        <v>0</v>
      </c>
    </row>
    <row r="162" spans="1:10" ht="38.25">
      <c r="A162" s="18" t="s">
        <v>134</v>
      </c>
      <c r="B162" s="19" t="s">
        <v>133</v>
      </c>
      <c r="C162" s="19" t="s">
        <v>135</v>
      </c>
      <c r="D162" s="19" t="s">
        <v>135</v>
      </c>
      <c r="E162" s="19"/>
      <c r="F162" s="20">
        <f>220.55218+50</f>
        <v>270.55218000000002</v>
      </c>
      <c r="G162" s="15">
        <f t="shared" si="2"/>
        <v>306.59500000000003</v>
      </c>
      <c r="H162" s="21">
        <v>577.14718000000005</v>
      </c>
      <c r="I162" s="21">
        <v>0</v>
      </c>
      <c r="J162" s="22">
        <v>0</v>
      </c>
    </row>
    <row r="163" spans="1:10" ht="51">
      <c r="A163" s="23" t="s">
        <v>66</v>
      </c>
      <c r="B163" s="24" t="s">
        <v>133</v>
      </c>
      <c r="C163" s="24" t="s">
        <v>135</v>
      </c>
      <c r="D163" s="24" t="s">
        <v>67</v>
      </c>
      <c r="E163" s="24"/>
      <c r="F163" s="25">
        <f>220.55218+50</f>
        <v>270.55218000000002</v>
      </c>
      <c r="G163" s="15">
        <f t="shared" si="2"/>
        <v>306.59500000000003</v>
      </c>
      <c r="H163" s="26">
        <v>577.14718000000005</v>
      </c>
      <c r="I163" s="26">
        <v>0</v>
      </c>
      <c r="J163" s="27">
        <v>0</v>
      </c>
    </row>
    <row r="164" spans="1:10" ht="25.5">
      <c r="A164" s="33" t="s">
        <v>68</v>
      </c>
      <c r="B164" s="34" t="s">
        <v>133</v>
      </c>
      <c r="C164" s="34" t="s">
        <v>135</v>
      </c>
      <c r="D164" s="34" t="s">
        <v>69</v>
      </c>
      <c r="E164" s="34"/>
      <c r="F164" s="30">
        <f>220.55218+50</f>
        <v>270.55218000000002</v>
      </c>
      <c r="G164" s="15">
        <f t="shared" si="2"/>
        <v>306.59500000000003</v>
      </c>
      <c r="H164" s="31">
        <v>577.14718000000005</v>
      </c>
      <c r="I164" s="31">
        <v>0</v>
      </c>
      <c r="J164" s="32">
        <v>0</v>
      </c>
    </row>
    <row r="165" spans="1:10" ht="63.75">
      <c r="A165" s="33" t="s">
        <v>648</v>
      </c>
      <c r="B165" s="59" t="s">
        <v>133</v>
      </c>
      <c r="C165" s="59" t="s">
        <v>135</v>
      </c>
      <c r="D165" s="59" t="s">
        <v>647</v>
      </c>
      <c r="E165" s="34"/>
      <c r="F165" s="30">
        <v>50</v>
      </c>
      <c r="G165" s="15">
        <f t="shared" si="2"/>
        <v>0</v>
      </c>
      <c r="H165" s="31">
        <v>50</v>
      </c>
      <c r="I165" s="31">
        <v>0</v>
      </c>
      <c r="J165" s="32">
        <v>0</v>
      </c>
    </row>
    <row r="166" spans="1:10" ht="63.75">
      <c r="A166" s="33" t="s">
        <v>649</v>
      </c>
      <c r="B166" s="59" t="s">
        <v>133</v>
      </c>
      <c r="C166" s="59" t="s">
        <v>135</v>
      </c>
      <c r="D166" s="59" t="s">
        <v>647</v>
      </c>
      <c r="E166" s="59" t="s">
        <v>48</v>
      </c>
      <c r="F166" s="30">
        <v>50</v>
      </c>
      <c r="G166" s="15">
        <f t="shared" si="2"/>
        <v>0</v>
      </c>
      <c r="H166" s="31">
        <v>50</v>
      </c>
      <c r="I166" s="31">
        <v>0</v>
      </c>
      <c r="J166" s="32">
        <v>0</v>
      </c>
    </row>
    <row r="167" spans="1:10" ht="76.5">
      <c r="A167" s="35" t="s">
        <v>136</v>
      </c>
      <c r="B167" s="39" t="s">
        <v>133</v>
      </c>
      <c r="C167" s="39" t="s">
        <v>135</v>
      </c>
      <c r="D167" s="39" t="s">
        <v>137</v>
      </c>
      <c r="E167" s="39"/>
      <c r="F167" s="30">
        <v>220.55217999999999</v>
      </c>
      <c r="G167" s="15">
        <f t="shared" si="2"/>
        <v>306.59500000000003</v>
      </c>
      <c r="H167" s="31">
        <v>527.14718000000005</v>
      </c>
      <c r="I167" s="31">
        <v>0</v>
      </c>
      <c r="J167" s="32">
        <v>0</v>
      </c>
    </row>
    <row r="168" spans="1:10" ht="89.25">
      <c r="A168" s="37" t="s">
        <v>513</v>
      </c>
      <c r="B168" s="40" t="s">
        <v>133</v>
      </c>
      <c r="C168" s="40" t="s">
        <v>135</v>
      </c>
      <c r="D168" s="40" t="s">
        <v>137</v>
      </c>
      <c r="E168" s="40" t="s">
        <v>50</v>
      </c>
      <c r="F168" s="30">
        <v>220.55217999999999</v>
      </c>
      <c r="G168" s="15">
        <f t="shared" si="2"/>
        <v>306.59500000000003</v>
      </c>
      <c r="H168" s="31">
        <v>527.14718000000005</v>
      </c>
      <c r="I168" s="31">
        <v>0</v>
      </c>
      <c r="J168" s="32">
        <v>0</v>
      </c>
    </row>
    <row r="169" spans="1:10" ht="25.5">
      <c r="A169" s="60" t="s">
        <v>663</v>
      </c>
      <c r="B169" s="61" t="s">
        <v>133</v>
      </c>
      <c r="C169" s="61" t="s">
        <v>654</v>
      </c>
      <c r="D169" s="61"/>
      <c r="E169" s="61"/>
      <c r="F169" s="30">
        <v>0</v>
      </c>
      <c r="G169" s="15">
        <f t="shared" si="2"/>
        <v>328.7</v>
      </c>
      <c r="H169" s="21">
        <v>328.7</v>
      </c>
      <c r="I169" s="21">
        <v>0</v>
      </c>
      <c r="J169" s="22">
        <v>0</v>
      </c>
    </row>
    <row r="170" spans="1:10" ht="38.25">
      <c r="A170" s="62" t="s">
        <v>118</v>
      </c>
      <c r="B170" s="63" t="s">
        <v>133</v>
      </c>
      <c r="C170" s="63" t="s">
        <v>654</v>
      </c>
      <c r="D170" s="63" t="s">
        <v>119</v>
      </c>
      <c r="E170" s="63"/>
      <c r="F170" s="30">
        <v>0</v>
      </c>
      <c r="G170" s="15">
        <f t="shared" si="2"/>
        <v>328.7</v>
      </c>
      <c r="H170" s="26">
        <v>328.7</v>
      </c>
      <c r="I170" s="26">
        <v>0</v>
      </c>
      <c r="J170" s="27">
        <v>0</v>
      </c>
    </row>
    <row r="171" spans="1:10" ht="25.5">
      <c r="A171" s="33" t="s">
        <v>120</v>
      </c>
      <c r="B171" s="64" t="s">
        <v>133</v>
      </c>
      <c r="C171" s="64" t="s">
        <v>654</v>
      </c>
      <c r="D171" s="64" t="s">
        <v>121</v>
      </c>
      <c r="E171" s="64"/>
      <c r="F171" s="30">
        <v>0</v>
      </c>
      <c r="G171" s="15">
        <f t="shared" si="2"/>
        <v>328.7</v>
      </c>
      <c r="H171" s="31">
        <v>328.7</v>
      </c>
      <c r="I171" s="31">
        <v>0</v>
      </c>
      <c r="J171" s="32">
        <v>0</v>
      </c>
    </row>
    <row r="172" spans="1:10" ht="38.25">
      <c r="A172" s="35" t="s">
        <v>664</v>
      </c>
      <c r="B172" s="43" t="s">
        <v>133</v>
      </c>
      <c r="C172" s="43" t="s">
        <v>654</v>
      </c>
      <c r="D172" s="43" t="s">
        <v>655</v>
      </c>
      <c r="E172" s="43"/>
      <c r="F172" s="30">
        <v>0</v>
      </c>
      <c r="G172" s="15">
        <f t="shared" si="2"/>
        <v>328.7</v>
      </c>
      <c r="H172" s="31">
        <v>328.7</v>
      </c>
      <c r="I172" s="31">
        <v>0</v>
      </c>
      <c r="J172" s="32">
        <v>0</v>
      </c>
    </row>
    <row r="173" spans="1:10" ht="38.25">
      <c r="A173" s="37" t="s">
        <v>665</v>
      </c>
      <c r="B173" s="44" t="s">
        <v>133</v>
      </c>
      <c r="C173" s="44" t="s">
        <v>654</v>
      </c>
      <c r="D173" s="44" t="s">
        <v>655</v>
      </c>
      <c r="E173" s="44" t="s">
        <v>48</v>
      </c>
      <c r="F173" s="30">
        <v>0</v>
      </c>
      <c r="G173" s="15">
        <f t="shared" si="2"/>
        <v>328.7</v>
      </c>
      <c r="H173" s="31">
        <v>328.7</v>
      </c>
      <c r="I173" s="31">
        <v>0</v>
      </c>
      <c r="J173" s="32">
        <v>0</v>
      </c>
    </row>
    <row r="174" spans="1:10">
      <c r="A174" s="12" t="s">
        <v>138</v>
      </c>
      <c r="B174" s="13" t="s">
        <v>139</v>
      </c>
      <c r="C174" s="13"/>
      <c r="D174" s="13"/>
      <c r="E174" s="13"/>
      <c r="F174" s="14">
        <f>155906.40565+823.2</f>
        <v>156729.60565000001</v>
      </c>
      <c r="G174" s="15">
        <f t="shared" si="2"/>
        <v>-961.93471000000136</v>
      </c>
      <c r="H174" s="16">
        <v>155767.67094000001</v>
      </c>
      <c r="I174" s="16">
        <v>89138.7</v>
      </c>
      <c r="J174" s="17">
        <v>126059.3</v>
      </c>
    </row>
    <row r="175" spans="1:10">
      <c r="A175" s="18" t="s">
        <v>140</v>
      </c>
      <c r="B175" s="19" t="s">
        <v>139</v>
      </c>
      <c r="C175" s="19" t="s">
        <v>141</v>
      </c>
      <c r="D175" s="19"/>
      <c r="E175" s="19"/>
      <c r="F175" s="20">
        <f>14773.02012+823.2</f>
        <v>15596.22012</v>
      </c>
      <c r="G175" s="15">
        <f t="shared" si="2"/>
        <v>-203.62485000000015</v>
      </c>
      <c r="H175" s="21">
        <v>15392.59527</v>
      </c>
      <c r="I175" s="21">
        <v>13101.5</v>
      </c>
      <c r="J175" s="22">
        <v>13502</v>
      </c>
    </row>
    <row r="176" spans="1:10" ht="51">
      <c r="A176" s="23" t="s">
        <v>98</v>
      </c>
      <c r="B176" s="24" t="s">
        <v>139</v>
      </c>
      <c r="C176" s="24" t="s">
        <v>141</v>
      </c>
      <c r="D176" s="24" t="s">
        <v>99</v>
      </c>
      <c r="E176" s="24"/>
      <c r="F176" s="25">
        <f>14773.02012+823.2</f>
        <v>15596.22012</v>
      </c>
      <c r="G176" s="15">
        <f t="shared" si="2"/>
        <v>-203.62485000000015</v>
      </c>
      <c r="H176" s="26">
        <v>15392.59527</v>
      </c>
      <c r="I176" s="26">
        <v>13101.5</v>
      </c>
      <c r="J176" s="27">
        <v>13502</v>
      </c>
    </row>
    <row r="177" spans="1:11" ht="25.5">
      <c r="A177" s="28" t="s">
        <v>142</v>
      </c>
      <c r="B177" s="29" t="s">
        <v>139</v>
      </c>
      <c r="C177" s="29" t="s">
        <v>141</v>
      </c>
      <c r="D177" s="29" t="s">
        <v>143</v>
      </c>
      <c r="E177" s="29"/>
      <c r="F177" s="30">
        <v>773.3</v>
      </c>
      <c r="G177" s="15">
        <f t="shared" si="2"/>
        <v>137.5</v>
      </c>
      <c r="H177" s="31">
        <v>910.8</v>
      </c>
      <c r="I177" s="31">
        <v>470.2</v>
      </c>
      <c r="J177" s="32">
        <v>400.1</v>
      </c>
    </row>
    <row r="178" spans="1:11">
      <c r="A178" s="33" t="s">
        <v>144</v>
      </c>
      <c r="B178" s="34" t="s">
        <v>139</v>
      </c>
      <c r="C178" s="34" t="s">
        <v>141</v>
      </c>
      <c r="D178" s="34" t="s">
        <v>145</v>
      </c>
      <c r="E178" s="34"/>
      <c r="F178" s="30">
        <v>773.3</v>
      </c>
      <c r="G178" s="15">
        <f t="shared" si="2"/>
        <v>137.5</v>
      </c>
      <c r="H178" s="31">
        <v>910.8</v>
      </c>
      <c r="I178" s="31">
        <v>470.2</v>
      </c>
      <c r="J178" s="32">
        <v>400.1</v>
      </c>
    </row>
    <row r="179" spans="1:11" ht="89.25">
      <c r="A179" s="35" t="s">
        <v>146</v>
      </c>
      <c r="B179" s="39" t="s">
        <v>139</v>
      </c>
      <c r="C179" s="39" t="s">
        <v>141</v>
      </c>
      <c r="D179" s="39" t="s">
        <v>147</v>
      </c>
      <c r="E179" s="39"/>
      <c r="F179" s="30">
        <v>773.3</v>
      </c>
      <c r="G179" s="15">
        <f t="shared" si="2"/>
        <v>137.5</v>
      </c>
      <c r="H179" s="31">
        <v>910.8</v>
      </c>
      <c r="I179" s="31">
        <v>470.2</v>
      </c>
      <c r="J179" s="32">
        <v>400.1</v>
      </c>
    </row>
    <row r="180" spans="1:11" ht="114.75">
      <c r="A180" s="37" t="s">
        <v>545</v>
      </c>
      <c r="B180" s="40" t="s">
        <v>139</v>
      </c>
      <c r="C180" s="40" t="s">
        <v>141</v>
      </c>
      <c r="D180" s="40" t="s">
        <v>147</v>
      </c>
      <c r="E180" s="40" t="s">
        <v>109</v>
      </c>
      <c r="F180" s="30">
        <v>773.3</v>
      </c>
      <c r="G180" s="15">
        <f t="shared" si="2"/>
        <v>137.5</v>
      </c>
      <c r="H180" s="31">
        <v>910.8</v>
      </c>
      <c r="I180" s="31">
        <v>470.2</v>
      </c>
      <c r="J180" s="32">
        <v>400.1</v>
      </c>
    </row>
    <row r="181" spans="1:11" ht="25.5">
      <c r="A181" s="28" t="s">
        <v>56</v>
      </c>
      <c r="B181" s="29" t="s">
        <v>139</v>
      </c>
      <c r="C181" s="29" t="s">
        <v>141</v>
      </c>
      <c r="D181" s="29" t="s">
        <v>104</v>
      </c>
      <c r="E181" s="29"/>
      <c r="F181" s="30">
        <f>13999.72012+832.2</f>
        <v>14831.920120000001</v>
      </c>
      <c r="G181" s="15">
        <f t="shared" si="2"/>
        <v>-350.12485000000015</v>
      </c>
      <c r="H181" s="31">
        <v>14481.795270000001</v>
      </c>
      <c r="I181" s="31">
        <v>12631.3</v>
      </c>
      <c r="J181" s="32">
        <v>13101.9</v>
      </c>
    </row>
    <row r="182" spans="1:11" ht="51">
      <c r="A182" s="33" t="s">
        <v>148</v>
      </c>
      <c r="B182" s="34" t="s">
        <v>139</v>
      </c>
      <c r="C182" s="34" t="s">
        <v>141</v>
      </c>
      <c r="D182" s="34" t="s">
        <v>149</v>
      </c>
      <c r="E182" s="34"/>
      <c r="F182" s="30">
        <f>8467.12012+504.9</f>
        <v>8972.0201199999992</v>
      </c>
      <c r="G182" s="15">
        <f t="shared" si="2"/>
        <v>-625.50299999999879</v>
      </c>
      <c r="H182" s="31">
        <v>8346.5171200000004</v>
      </c>
      <c r="I182" s="31">
        <v>7587.2</v>
      </c>
      <c r="J182" s="32">
        <v>7863.8</v>
      </c>
    </row>
    <row r="183" spans="1:11" ht="63.75">
      <c r="A183" s="35" t="s">
        <v>627</v>
      </c>
      <c r="B183" s="36" t="s">
        <v>139</v>
      </c>
      <c r="C183" s="36" t="s">
        <v>141</v>
      </c>
      <c r="D183" s="36" t="s">
        <v>637</v>
      </c>
      <c r="E183" s="36"/>
      <c r="F183" s="30">
        <v>222.72012000000001</v>
      </c>
      <c r="G183" s="15">
        <f t="shared" si="2"/>
        <v>0</v>
      </c>
      <c r="H183" s="31">
        <v>222.72012000000001</v>
      </c>
      <c r="I183" s="31">
        <v>0</v>
      </c>
      <c r="J183" s="32">
        <v>0</v>
      </c>
    </row>
    <row r="184" spans="1:11" ht="114.75">
      <c r="A184" s="37" t="s">
        <v>680</v>
      </c>
      <c r="B184" s="38" t="s">
        <v>139</v>
      </c>
      <c r="C184" s="38" t="s">
        <v>141</v>
      </c>
      <c r="D184" s="38" t="s">
        <v>637</v>
      </c>
      <c r="E184" s="38" t="s">
        <v>28</v>
      </c>
      <c r="F184" s="30">
        <v>222.72012000000001</v>
      </c>
      <c r="G184" s="15">
        <f t="shared" si="2"/>
        <v>0</v>
      </c>
      <c r="H184" s="31">
        <v>222.72012000000001</v>
      </c>
      <c r="I184" s="31">
        <v>0</v>
      </c>
      <c r="J184" s="32">
        <v>0</v>
      </c>
    </row>
    <row r="185" spans="1:11" ht="89.25">
      <c r="A185" s="35" t="s">
        <v>150</v>
      </c>
      <c r="B185" s="39" t="s">
        <v>139</v>
      </c>
      <c r="C185" s="39" t="s">
        <v>141</v>
      </c>
      <c r="D185" s="39" t="s">
        <v>151</v>
      </c>
      <c r="E185" s="39"/>
      <c r="F185" s="30">
        <f>8244.4+504.9</f>
        <v>8749.2999999999993</v>
      </c>
      <c r="G185" s="15">
        <f t="shared" si="2"/>
        <v>-625.5029999999997</v>
      </c>
      <c r="H185" s="31">
        <v>8123.7969999999996</v>
      </c>
      <c r="I185" s="31">
        <v>7587.2</v>
      </c>
      <c r="J185" s="32">
        <v>7863.8</v>
      </c>
    </row>
    <row r="186" spans="1:11" ht="140.25">
      <c r="A186" s="37" t="s">
        <v>466</v>
      </c>
      <c r="B186" s="40" t="s">
        <v>139</v>
      </c>
      <c r="C186" s="40" t="s">
        <v>141</v>
      </c>
      <c r="D186" s="40" t="s">
        <v>151</v>
      </c>
      <c r="E186" s="40" t="s">
        <v>28</v>
      </c>
      <c r="F186" s="30">
        <v>6916.9</v>
      </c>
      <c r="G186" s="15">
        <f t="shared" si="2"/>
        <v>233.33296000000064</v>
      </c>
      <c r="H186" s="31">
        <v>7150.2329600000003</v>
      </c>
      <c r="I186" s="31">
        <v>6701.1</v>
      </c>
      <c r="J186" s="32">
        <v>6968.7</v>
      </c>
    </row>
    <row r="187" spans="1:11" ht="114.75">
      <c r="A187" s="37" t="s">
        <v>487</v>
      </c>
      <c r="B187" s="40" t="s">
        <v>139</v>
      </c>
      <c r="C187" s="40" t="s">
        <v>141</v>
      </c>
      <c r="D187" s="40" t="s">
        <v>151</v>
      </c>
      <c r="E187" s="40" t="s">
        <v>34</v>
      </c>
      <c r="F187" s="30">
        <v>1327.5</v>
      </c>
      <c r="G187" s="15">
        <f t="shared" si="2"/>
        <v>-353.93596000000002</v>
      </c>
      <c r="H187" s="31">
        <v>973.56403999999998</v>
      </c>
      <c r="I187" s="31">
        <v>886.1</v>
      </c>
      <c r="J187" s="32">
        <v>895.1</v>
      </c>
    </row>
    <row r="188" spans="1:11" ht="25.5">
      <c r="A188" s="33" t="s">
        <v>152</v>
      </c>
      <c r="B188" s="34" t="s">
        <v>139</v>
      </c>
      <c r="C188" s="34" t="s">
        <v>141</v>
      </c>
      <c r="D188" s="34" t="s">
        <v>153</v>
      </c>
      <c r="E188" s="34"/>
      <c r="F188" s="30">
        <f>5532.6+318.3</f>
        <v>5850.9000000000005</v>
      </c>
      <c r="G188" s="15">
        <f t="shared" si="2"/>
        <v>284.37814999999955</v>
      </c>
      <c r="H188" s="31">
        <v>6135.2781500000001</v>
      </c>
      <c r="I188" s="31">
        <v>5044.1000000000004</v>
      </c>
      <c r="J188" s="32">
        <v>5238.1000000000004</v>
      </c>
      <c r="K188" s="9"/>
    </row>
    <row r="189" spans="1:11">
      <c r="A189" s="79" t="s">
        <v>601</v>
      </c>
      <c r="B189" s="43" t="s">
        <v>139</v>
      </c>
      <c r="C189" s="43" t="s">
        <v>141</v>
      </c>
      <c r="D189" s="43" t="s">
        <v>692</v>
      </c>
      <c r="E189" s="43"/>
      <c r="F189" s="30">
        <v>0</v>
      </c>
      <c r="G189" s="15">
        <f t="shared" si="2"/>
        <v>284.37815000000001</v>
      </c>
      <c r="H189" s="31">
        <v>284.37815000000001</v>
      </c>
      <c r="I189" s="31">
        <v>0</v>
      </c>
      <c r="J189" s="32">
        <v>0</v>
      </c>
    </row>
    <row r="190" spans="1:11" ht="63.75">
      <c r="A190" s="80" t="s">
        <v>704</v>
      </c>
      <c r="B190" s="44" t="s">
        <v>139</v>
      </c>
      <c r="C190" s="44" t="s">
        <v>141</v>
      </c>
      <c r="D190" s="44" t="s">
        <v>692</v>
      </c>
      <c r="E190" s="44" t="s">
        <v>28</v>
      </c>
      <c r="F190" s="30">
        <v>0</v>
      </c>
      <c r="G190" s="15">
        <f t="shared" si="2"/>
        <v>116.43317</v>
      </c>
      <c r="H190" s="31">
        <v>116.43317</v>
      </c>
      <c r="I190" s="31">
        <v>0</v>
      </c>
      <c r="J190" s="32">
        <v>0</v>
      </c>
    </row>
    <row r="191" spans="1:11" ht="38.25">
      <c r="A191" s="79" t="s">
        <v>622</v>
      </c>
      <c r="B191" s="44" t="s">
        <v>139</v>
      </c>
      <c r="C191" s="44" t="s">
        <v>141</v>
      </c>
      <c r="D191" s="44" t="s">
        <v>692</v>
      </c>
      <c r="E191" s="44" t="s">
        <v>109</v>
      </c>
      <c r="F191" s="30">
        <v>0</v>
      </c>
      <c r="G191" s="15">
        <f t="shared" si="2"/>
        <v>167.94497999999999</v>
      </c>
      <c r="H191" s="31">
        <v>167.94497999999999</v>
      </c>
      <c r="I191" s="31">
        <v>0</v>
      </c>
      <c r="J191" s="32">
        <v>0</v>
      </c>
    </row>
    <row r="192" spans="1:11" ht="89.25">
      <c r="A192" s="35" t="s">
        <v>154</v>
      </c>
      <c r="B192" s="39" t="s">
        <v>139</v>
      </c>
      <c r="C192" s="39" t="s">
        <v>141</v>
      </c>
      <c r="D192" s="39" t="s">
        <v>155</v>
      </c>
      <c r="E192" s="39"/>
      <c r="F192" s="41">
        <f>5532.6+318.3</f>
        <v>5850.9000000000005</v>
      </c>
      <c r="G192" s="15">
        <f t="shared" si="2"/>
        <v>-9.0949470177292824E-13</v>
      </c>
      <c r="H192" s="31">
        <v>5850.9</v>
      </c>
      <c r="I192" s="31">
        <v>5044.1000000000004</v>
      </c>
      <c r="J192" s="32">
        <v>5238.1000000000004</v>
      </c>
    </row>
    <row r="193" spans="1:10" ht="114.75">
      <c r="A193" s="37" t="s">
        <v>546</v>
      </c>
      <c r="B193" s="40" t="s">
        <v>139</v>
      </c>
      <c r="C193" s="40" t="s">
        <v>141</v>
      </c>
      <c r="D193" s="40" t="s">
        <v>155</v>
      </c>
      <c r="E193" s="40" t="s">
        <v>109</v>
      </c>
      <c r="F193" s="30">
        <f>5532.6+318.3</f>
        <v>5850.9000000000005</v>
      </c>
      <c r="G193" s="15">
        <f t="shared" si="2"/>
        <v>-9.0949470177292824E-13</v>
      </c>
      <c r="H193" s="31">
        <v>5850.9</v>
      </c>
      <c r="I193" s="31">
        <v>5044.1000000000004</v>
      </c>
      <c r="J193" s="32">
        <v>5238.1000000000004</v>
      </c>
    </row>
    <row r="194" spans="1:10">
      <c r="A194" s="18" t="s">
        <v>156</v>
      </c>
      <c r="B194" s="19" t="s">
        <v>139</v>
      </c>
      <c r="C194" s="19" t="s">
        <v>157</v>
      </c>
      <c r="D194" s="19"/>
      <c r="E194" s="19"/>
      <c r="F194" s="20">
        <v>7227.4855299999999</v>
      </c>
      <c r="G194" s="15">
        <f t="shared" si="2"/>
        <v>-13.103110000000015</v>
      </c>
      <c r="H194" s="21">
        <v>7214.3824199999999</v>
      </c>
      <c r="I194" s="21">
        <v>7086</v>
      </c>
      <c r="J194" s="22">
        <v>7361.9</v>
      </c>
    </row>
    <row r="195" spans="1:10" ht="25.5">
      <c r="A195" s="23" t="s">
        <v>158</v>
      </c>
      <c r="B195" s="24" t="s">
        <v>139</v>
      </c>
      <c r="C195" s="24" t="s">
        <v>157</v>
      </c>
      <c r="D195" s="24" t="s">
        <v>159</v>
      </c>
      <c r="E195" s="24"/>
      <c r="F195" s="25">
        <v>7227.4855299999999</v>
      </c>
      <c r="G195" s="15">
        <f t="shared" si="2"/>
        <v>-13.103110000000015</v>
      </c>
      <c r="H195" s="26">
        <v>7214.3824199999999</v>
      </c>
      <c r="I195" s="26">
        <v>7086</v>
      </c>
      <c r="J195" s="27">
        <v>7361.9</v>
      </c>
    </row>
    <row r="196" spans="1:10" ht="25.5">
      <c r="A196" s="28" t="s">
        <v>160</v>
      </c>
      <c r="B196" s="29" t="s">
        <v>139</v>
      </c>
      <c r="C196" s="29" t="s">
        <v>157</v>
      </c>
      <c r="D196" s="29" t="s">
        <v>161</v>
      </c>
      <c r="E196" s="29"/>
      <c r="F196" s="30">
        <v>7227.4855299999999</v>
      </c>
      <c r="G196" s="15">
        <f t="shared" si="2"/>
        <v>-13.103110000000015</v>
      </c>
      <c r="H196" s="31">
        <v>7214.3824199999999</v>
      </c>
      <c r="I196" s="31">
        <v>7086</v>
      </c>
      <c r="J196" s="32">
        <v>7361.9</v>
      </c>
    </row>
    <row r="197" spans="1:10" ht="25.5">
      <c r="A197" s="33" t="s">
        <v>162</v>
      </c>
      <c r="B197" s="34" t="s">
        <v>139</v>
      </c>
      <c r="C197" s="34" t="s">
        <v>157</v>
      </c>
      <c r="D197" s="34" t="s">
        <v>163</v>
      </c>
      <c r="E197" s="34"/>
      <c r="F197" s="30">
        <v>7227.4855299999999</v>
      </c>
      <c r="G197" s="15">
        <f t="shared" si="2"/>
        <v>-13.103110000000015</v>
      </c>
      <c r="H197" s="31">
        <v>7214.3824199999999</v>
      </c>
      <c r="I197" s="31">
        <v>7086</v>
      </c>
      <c r="J197" s="32">
        <v>7361.9</v>
      </c>
    </row>
    <row r="198" spans="1:10" ht="63.75">
      <c r="A198" s="35" t="s">
        <v>164</v>
      </c>
      <c r="B198" s="39" t="s">
        <v>139</v>
      </c>
      <c r="C198" s="39" t="s">
        <v>157</v>
      </c>
      <c r="D198" s="39" t="s">
        <v>165</v>
      </c>
      <c r="E198" s="39"/>
      <c r="F198" s="30">
        <v>18.256</v>
      </c>
      <c r="G198" s="15">
        <f t="shared" si="2"/>
        <v>-6.8614999999999995</v>
      </c>
      <c r="H198" s="31">
        <v>11.394500000000001</v>
      </c>
      <c r="I198" s="31">
        <v>0</v>
      </c>
      <c r="J198" s="32">
        <v>0</v>
      </c>
    </row>
    <row r="199" spans="1:10" ht="76.5">
      <c r="A199" s="37" t="s">
        <v>575</v>
      </c>
      <c r="B199" s="40" t="s">
        <v>139</v>
      </c>
      <c r="C199" s="40" t="s">
        <v>157</v>
      </c>
      <c r="D199" s="40" t="s">
        <v>165</v>
      </c>
      <c r="E199" s="40" t="s">
        <v>51</v>
      </c>
      <c r="F199" s="30">
        <v>18.256</v>
      </c>
      <c r="G199" s="15">
        <f t="shared" si="2"/>
        <v>-6.8614999999999995</v>
      </c>
      <c r="H199" s="31">
        <v>11.394500000000001</v>
      </c>
      <c r="I199" s="31">
        <v>0</v>
      </c>
      <c r="J199" s="32">
        <v>0</v>
      </c>
    </row>
    <row r="200" spans="1:10" ht="51">
      <c r="A200" s="35" t="s">
        <v>166</v>
      </c>
      <c r="B200" s="39" t="s">
        <v>139</v>
      </c>
      <c r="C200" s="39" t="s">
        <v>157</v>
      </c>
      <c r="D200" s="39" t="s">
        <v>167</v>
      </c>
      <c r="E200" s="39"/>
      <c r="F200" s="30">
        <v>7209.2295299999996</v>
      </c>
      <c r="G200" s="15">
        <f t="shared" si="2"/>
        <v>-6.241610000000037</v>
      </c>
      <c r="H200" s="31">
        <v>7202.9879199999996</v>
      </c>
      <c r="I200" s="31">
        <v>7086</v>
      </c>
      <c r="J200" s="32">
        <v>7361.9</v>
      </c>
    </row>
    <row r="201" spans="1:10" ht="63.75">
      <c r="A201" s="37" t="s">
        <v>488</v>
      </c>
      <c r="B201" s="40" t="s">
        <v>139</v>
      </c>
      <c r="C201" s="40" t="s">
        <v>157</v>
      </c>
      <c r="D201" s="40" t="s">
        <v>167</v>
      </c>
      <c r="E201" s="40" t="s">
        <v>34</v>
      </c>
      <c r="F201" s="30">
        <v>7058.7295299999996</v>
      </c>
      <c r="G201" s="15">
        <f t="shared" si="2"/>
        <v>-6.241610000000037</v>
      </c>
      <c r="H201" s="31">
        <v>7052.4879199999996</v>
      </c>
      <c r="I201" s="31">
        <v>6929.5</v>
      </c>
      <c r="J201" s="32">
        <v>7199.2</v>
      </c>
    </row>
    <row r="202" spans="1:10" ht="51">
      <c r="A202" s="37" t="s">
        <v>527</v>
      </c>
      <c r="B202" s="40" t="s">
        <v>139</v>
      </c>
      <c r="C202" s="40" t="s">
        <v>157</v>
      </c>
      <c r="D202" s="40" t="s">
        <v>167</v>
      </c>
      <c r="E202" s="40" t="s">
        <v>48</v>
      </c>
      <c r="F202" s="30">
        <v>150.5</v>
      </c>
      <c r="G202" s="15">
        <f t="shared" si="2"/>
        <v>0</v>
      </c>
      <c r="H202" s="31">
        <v>150.5</v>
      </c>
      <c r="I202" s="31">
        <v>156.5</v>
      </c>
      <c r="J202" s="32">
        <v>162.69999999999999</v>
      </c>
    </row>
    <row r="203" spans="1:10">
      <c r="A203" s="18" t="s">
        <v>168</v>
      </c>
      <c r="B203" s="19" t="s">
        <v>139</v>
      </c>
      <c r="C203" s="19" t="s">
        <v>169</v>
      </c>
      <c r="D203" s="19"/>
      <c r="E203" s="19"/>
      <c r="F203" s="20">
        <v>126180.9</v>
      </c>
      <c r="G203" s="15">
        <f t="shared" si="2"/>
        <v>-353.24774999999499</v>
      </c>
      <c r="H203" s="21">
        <v>125827.65225</v>
      </c>
      <c r="I203" s="21">
        <v>66351.199999999997</v>
      </c>
      <c r="J203" s="22">
        <v>102745.4</v>
      </c>
    </row>
    <row r="204" spans="1:10" ht="25.5">
      <c r="A204" s="23" t="s">
        <v>158</v>
      </c>
      <c r="B204" s="24" t="s">
        <v>139</v>
      </c>
      <c r="C204" s="24" t="s">
        <v>169</v>
      </c>
      <c r="D204" s="24" t="s">
        <v>159</v>
      </c>
      <c r="E204" s="24"/>
      <c r="F204" s="25">
        <v>126180.9</v>
      </c>
      <c r="G204" s="15">
        <f t="shared" si="2"/>
        <v>-353.24774999999499</v>
      </c>
      <c r="H204" s="26">
        <v>125827.65225</v>
      </c>
      <c r="I204" s="26">
        <v>66351.199999999997</v>
      </c>
      <c r="J204" s="27">
        <v>102745.4</v>
      </c>
    </row>
    <row r="205" spans="1:10" ht="25.5">
      <c r="A205" s="28" t="s">
        <v>160</v>
      </c>
      <c r="B205" s="29" t="s">
        <v>139</v>
      </c>
      <c r="C205" s="29" t="s">
        <v>169</v>
      </c>
      <c r="D205" s="29" t="s">
        <v>161</v>
      </c>
      <c r="E205" s="29"/>
      <c r="F205" s="30">
        <v>126180.9</v>
      </c>
      <c r="G205" s="15">
        <f t="shared" si="2"/>
        <v>-403.19774999999208</v>
      </c>
      <c r="H205" s="31">
        <v>125777.70225</v>
      </c>
      <c r="I205" s="31">
        <v>66351.199999999997</v>
      </c>
      <c r="J205" s="32">
        <v>102745.4</v>
      </c>
    </row>
    <row r="206" spans="1:10" ht="25.5">
      <c r="A206" s="33" t="s">
        <v>170</v>
      </c>
      <c r="B206" s="34" t="s">
        <v>139</v>
      </c>
      <c r="C206" s="34" t="s">
        <v>169</v>
      </c>
      <c r="D206" s="34" t="s">
        <v>171</v>
      </c>
      <c r="E206" s="34"/>
      <c r="F206" s="30">
        <v>116180.9</v>
      </c>
      <c r="G206" s="15">
        <f t="shared" si="2"/>
        <v>-1705.1127500000002</v>
      </c>
      <c r="H206" s="31">
        <v>114475.78724999999</v>
      </c>
      <c r="I206" s="31">
        <v>66351.199999999997</v>
      </c>
      <c r="J206" s="32">
        <v>102745.4</v>
      </c>
    </row>
    <row r="207" spans="1:10">
      <c r="A207" s="33" t="s">
        <v>601</v>
      </c>
      <c r="B207" s="59" t="s">
        <v>139</v>
      </c>
      <c r="C207" s="59" t="s">
        <v>169</v>
      </c>
      <c r="D207" s="59" t="s">
        <v>600</v>
      </c>
      <c r="E207" s="34"/>
      <c r="F207" s="30">
        <v>50</v>
      </c>
      <c r="G207" s="15">
        <f t="shared" si="2"/>
        <v>0</v>
      </c>
      <c r="H207" s="31">
        <v>50</v>
      </c>
      <c r="I207" s="31">
        <v>0</v>
      </c>
      <c r="J207" s="32">
        <v>0</v>
      </c>
    </row>
    <row r="208" spans="1:10" ht="25.5">
      <c r="A208" s="33" t="s">
        <v>602</v>
      </c>
      <c r="B208" s="59" t="s">
        <v>139</v>
      </c>
      <c r="C208" s="59" t="s">
        <v>169</v>
      </c>
      <c r="D208" s="59" t="s">
        <v>600</v>
      </c>
      <c r="E208" s="59" t="s">
        <v>48</v>
      </c>
      <c r="F208" s="30">
        <v>50</v>
      </c>
      <c r="G208" s="15">
        <f t="shared" si="2"/>
        <v>0</v>
      </c>
      <c r="H208" s="31">
        <v>50</v>
      </c>
      <c r="I208" s="31">
        <v>0</v>
      </c>
      <c r="J208" s="32">
        <v>0</v>
      </c>
    </row>
    <row r="209" spans="1:10" ht="51">
      <c r="A209" s="35" t="s">
        <v>172</v>
      </c>
      <c r="B209" s="39" t="s">
        <v>139</v>
      </c>
      <c r="C209" s="39" t="s">
        <v>169</v>
      </c>
      <c r="D209" s="39" t="s">
        <v>173</v>
      </c>
      <c r="E209" s="39"/>
      <c r="F209" s="30">
        <v>14389.98194</v>
      </c>
      <c r="G209" s="15">
        <f t="shared" si="2"/>
        <v>-1758.3020199999992</v>
      </c>
      <c r="H209" s="31">
        <v>12631.67992</v>
      </c>
      <c r="I209" s="31">
        <v>26780</v>
      </c>
      <c r="J209" s="32">
        <v>27330</v>
      </c>
    </row>
    <row r="210" spans="1:10" ht="45.75" customHeight="1">
      <c r="A210" s="37" t="s">
        <v>489</v>
      </c>
      <c r="B210" s="40" t="s">
        <v>139</v>
      </c>
      <c r="C210" s="40" t="s">
        <v>169</v>
      </c>
      <c r="D210" s="40" t="s">
        <v>173</v>
      </c>
      <c r="E210" s="40" t="s">
        <v>34</v>
      </c>
      <c r="F210" s="30">
        <v>3749.0828099999999</v>
      </c>
      <c r="G210" s="15">
        <f t="shared" si="2"/>
        <v>-3749.0828099999999</v>
      </c>
      <c r="H210" s="31">
        <v>0</v>
      </c>
      <c r="I210" s="31">
        <v>26780</v>
      </c>
      <c r="J210" s="32">
        <v>27330</v>
      </c>
    </row>
    <row r="211" spans="1:10" ht="30.75" customHeight="1">
      <c r="A211" s="37" t="s">
        <v>699</v>
      </c>
      <c r="B211" s="38" t="s">
        <v>139</v>
      </c>
      <c r="C211" s="38" t="s">
        <v>169</v>
      </c>
      <c r="D211" s="38" t="s">
        <v>173</v>
      </c>
      <c r="E211" s="38" t="s">
        <v>48</v>
      </c>
      <c r="F211" s="30">
        <v>10640.89913</v>
      </c>
      <c r="G211" s="15">
        <f t="shared" si="2"/>
        <v>1990.7807900000007</v>
      </c>
      <c r="H211" s="31">
        <v>12631.67992</v>
      </c>
      <c r="I211" s="31">
        <v>0</v>
      </c>
      <c r="J211" s="32">
        <v>0</v>
      </c>
    </row>
    <row r="212" spans="1:10" ht="45.75" customHeight="1">
      <c r="A212" s="35" t="s">
        <v>174</v>
      </c>
      <c r="B212" s="39" t="s">
        <v>139</v>
      </c>
      <c r="C212" s="39" t="s">
        <v>169</v>
      </c>
      <c r="D212" s="39" t="s">
        <v>175</v>
      </c>
      <c r="E212" s="39"/>
      <c r="F212" s="30">
        <v>101740.91806</v>
      </c>
      <c r="G212" s="15">
        <f t="shared" si="2"/>
        <v>53.18927000000258</v>
      </c>
      <c r="H212" s="31">
        <v>101794.10733</v>
      </c>
      <c r="I212" s="31">
        <v>39571.199999999997</v>
      </c>
      <c r="J212" s="32">
        <v>75415.399999999994</v>
      </c>
    </row>
    <row r="213" spans="1:10" ht="102" customHeight="1">
      <c r="A213" s="37" t="s">
        <v>490</v>
      </c>
      <c r="B213" s="40" t="s">
        <v>139</v>
      </c>
      <c r="C213" s="40" t="s">
        <v>169</v>
      </c>
      <c r="D213" s="40" t="s">
        <v>175</v>
      </c>
      <c r="E213" s="40" t="s">
        <v>34</v>
      </c>
      <c r="F213" s="30">
        <v>15.21435</v>
      </c>
      <c r="G213" s="15">
        <f t="shared" si="2"/>
        <v>-14.837529999999999</v>
      </c>
      <c r="H213" s="31">
        <v>0.37681999999999999</v>
      </c>
      <c r="I213" s="31">
        <v>39571.199999999997</v>
      </c>
      <c r="J213" s="32">
        <v>75415.399999999994</v>
      </c>
    </row>
    <row r="214" spans="1:10" ht="76.5">
      <c r="A214" s="37" t="s">
        <v>700</v>
      </c>
      <c r="B214" s="38" t="s">
        <v>139</v>
      </c>
      <c r="C214" s="38" t="s">
        <v>169</v>
      </c>
      <c r="D214" s="38" t="s">
        <v>175</v>
      </c>
      <c r="E214" s="38" t="s">
        <v>48</v>
      </c>
      <c r="F214" s="30">
        <v>101725.70371</v>
      </c>
      <c r="G214" s="15">
        <f t="shared" si="2"/>
        <v>68.026799999992363</v>
      </c>
      <c r="H214" s="31">
        <v>101793.73050999999</v>
      </c>
      <c r="I214" s="31">
        <v>0</v>
      </c>
      <c r="J214" s="32">
        <v>0</v>
      </c>
    </row>
    <row r="215" spans="1:10" ht="25.5">
      <c r="A215" s="33" t="s">
        <v>176</v>
      </c>
      <c r="B215" s="34" t="s">
        <v>139</v>
      </c>
      <c r="C215" s="34" t="s">
        <v>169</v>
      </c>
      <c r="D215" s="34" t="s">
        <v>177</v>
      </c>
      <c r="E215" s="34"/>
      <c r="F215" s="30">
        <v>10000</v>
      </c>
      <c r="G215" s="15">
        <f t="shared" si="2"/>
        <v>1301.9150000000009</v>
      </c>
      <c r="H215" s="31">
        <v>11301.915000000001</v>
      </c>
      <c r="I215" s="31">
        <v>0</v>
      </c>
      <c r="J215" s="32">
        <v>0</v>
      </c>
    </row>
    <row r="216" spans="1:10" ht="63.75">
      <c r="A216" s="35" t="s">
        <v>178</v>
      </c>
      <c r="B216" s="39" t="s">
        <v>139</v>
      </c>
      <c r="C216" s="39" t="s">
        <v>169</v>
      </c>
      <c r="D216" s="39" t="s">
        <v>179</v>
      </c>
      <c r="E216" s="39"/>
      <c r="F216" s="30">
        <v>10000</v>
      </c>
      <c r="G216" s="15">
        <f t="shared" si="2"/>
        <v>1301.9150000000009</v>
      </c>
      <c r="H216" s="31">
        <v>11301.915000000001</v>
      </c>
      <c r="I216" s="31">
        <v>0</v>
      </c>
      <c r="J216" s="32">
        <v>0</v>
      </c>
    </row>
    <row r="217" spans="1:10" ht="76.5">
      <c r="A217" s="37" t="s">
        <v>528</v>
      </c>
      <c r="B217" s="40" t="s">
        <v>139</v>
      </c>
      <c r="C217" s="40" t="s">
        <v>169</v>
      </c>
      <c r="D217" s="40" t="s">
        <v>179</v>
      </c>
      <c r="E217" s="40" t="s">
        <v>48</v>
      </c>
      <c r="F217" s="30">
        <v>10000</v>
      </c>
      <c r="G217" s="15">
        <f t="shared" si="2"/>
        <v>1301.9150000000009</v>
      </c>
      <c r="H217" s="31">
        <v>11301.915000000001</v>
      </c>
      <c r="I217" s="31">
        <v>0</v>
      </c>
      <c r="J217" s="32">
        <v>0</v>
      </c>
    </row>
    <row r="218" spans="1:10" ht="25.5">
      <c r="A218" s="28" t="s">
        <v>666</v>
      </c>
      <c r="B218" s="65" t="s">
        <v>139</v>
      </c>
      <c r="C218" s="65" t="s">
        <v>169</v>
      </c>
      <c r="D218" s="65" t="s">
        <v>656</v>
      </c>
      <c r="E218" s="65"/>
      <c r="F218" s="30">
        <v>0</v>
      </c>
      <c r="G218" s="15">
        <f t="shared" si="2"/>
        <v>49.95</v>
      </c>
      <c r="H218" s="31">
        <v>49.95</v>
      </c>
      <c r="I218" s="31">
        <v>0</v>
      </c>
      <c r="J218" s="32">
        <v>0</v>
      </c>
    </row>
    <row r="219" spans="1:10" ht="25.5">
      <c r="A219" s="33" t="s">
        <v>667</v>
      </c>
      <c r="B219" s="64" t="s">
        <v>139</v>
      </c>
      <c r="C219" s="64" t="s">
        <v>169</v>
      </c>
      <c r="D219" s="64" t="s">
        <v>657</v>
      </c>
      <c r="E219" s="64"/>
      <c r="F219" s="30">
        <v>0</v>
      </c>
      <c r="G219" s="15">
        <f t="shared" si="2"/>
        <v>49.95</v>
      </c>
      <c r="H219" s="31">
        <v>49.95</v>
      </c>
      <c r="I219" s="31">
        <v>0</v>
      </c>
      <c r="J219" s="32">
        <v>0</v>
      </c>
    </row>
    <row r="220" spans="1:10" ht="63.75">
      <c r="A220" s="35" t="s">
        <v>668</v>
      </c>
      <c r="B220" s="43" t="s">
        <v>139</v>
      </c>
      <c r="C220" s="43" t="s">
        <v>169</v>
      </c>
      <c r="D220" s="43" t="s">
        <v>658</v>
      </c>
      <c r="E220" s="43"/>
      <c r="F220" s="30">
        <v>0</v>
      </c>
      <c r="G220" s="15">
        <f t="shared" si="2"/>
        <v>49.95</v>
      </c>
      <c r="H220" s="31">
        <v>49.95</v>
      </c>
      <c r="I220" s="31">
        <v>0</v>
      </c>
      <c r="J220" s="32">
        <v>0</v>
      </c>
    </row>
    <row r="221" spans="1:10" ht="76.5">
      <c r="A221" s="37" t="s">
        <v>669</v>
      </c>
      <c r="B221" s="44" t="s">
        <v>139</v>
      </c>
      <c r="C221" s="44" t="s">
        <v>169</v>
      </c>
      <c r="D221" s="44" t="s">
        <v>658</v>
      </c>
      <c r="E221" s="44" t="s">
        <v>48</v>
      </c>
      <c r="F221" s="30">
        <v>0</v>
      </c>
      <c r="G221" s="15">
        <f t="shared" si="2"/>
        <v>49.95</v>
      </c>
      <c r="H221" s="31">
        <v>49.95</v>
      </c>
      <c r="I221" s="31">
        <v>0</v>
      </c>
      <c r="J221" s="32">
        <v>0</v>
      </c>
    </row>
    <row r="222" spans="1:10">
      <c r="A222" s="18" t="s">
        <v>180</v>
      </c>
      <c r="B222" s="19" t="s">
        <v>139</v>
      </c>
      <c r="C222" s="19" t="s">
        <v>181</v>
      </c>
      <c r="D222" s="19"/>
      <c r="E222" s="19"/>
      <c r="F222" s="20">
        <v>7725</v>
      </c>
      <c r="G222" s="15">
        <f t="shared" si="2"/>
        <v>-391.95899999999983</v>
      </c>
      <c r="H222" s="21">
        <v>7333.0410000000002</v>
      </c>
      <c r="I222" s="21">
        <v>2600</v>
      </c>
      <c r="J222" s="22">
        <v>2450</v>
      </c>
    </row>
    <row r="223" spans="1:10" ht="51">
      <c r="A223" s="23" t="s">
        <v>98</v>
      </c>
      <c r="B223" s="24" t="s">
        <v>139</v>
      </c>
      <c r="C223" s="24" t="s">
        <v>181</v>
      </c>
      <c r="D223" s="24" t="s">
        <v>99</v>
      </c>
      <c r="E223" s="24"/>
      <c r="F223" s="25">
        <v>1525</v>
      </c>
      <c r="G223" s="15">
        <f t="shared" si="2"/>
        <v>-391.95900000000006</v>
      </c>
      <c r="H223" s="26">
        <v>1133.0409999999999</v>
      </c>
      <c r="I223" s="26">
        <v>600</v>
      </c>
      <c r="J223" s="27">
        <v>450</v>
      </c>
    </row>
    <row r="224" spans="1:10" ht="38.25">
      <c r="A224" s="28" t="s">
        <v>100</v>
      </c>
      <c r="B224" s="29" t="s">
        <v>139</v>
      </c>
      <c r="C224" s="29" t="s">
        <v>181</v>
      </c>
      <c r="D224" s="29" t="s">
        <v>101</v>
      </c>
      <c r="E224" s="29"/>
      <c r="F224" s="30">
        <v>1525</v>
      </c>
      <c r="G224" s="15">
        <f t="shared" ref="G224:G285" si="3">SUM(H224-F224)</f>
        <v>-391.95900000000006</v>
      </c>
      <c r="H224" s="31">
        <v>1133.0409999999999</v>
      </c>
      <c r="I224" s="31">
        <v>600</v>
      </c>
      <c r="J224" s="32">
        <v>450</v>
      </c>
    </row>
    <row r="225" spans="1:10" ht="38.25">
      <c r="A225" s="33" t="s">
        <v>102</v>
      </c>
      <c r="B225" s="34" t="s">
        <v>139</v>
      </c>
      <c r="C225" s="34" t="s">
        <v>181</v>
      </c>
      <c r="D225" s="34" t="s">
        <v>103</v>
      </c>
      <c r="E225" s="34"/>
      <c r="F225" s="30">
        <v>1525</v>
      </c>
      <c r="G225" s="15">
        <f t="shared" si="3"/>
        <v>-391.95900000000006</v>
      </c>
      <c r="H225" s="31">
        <v>1133.0409999999999</v>
      </c>
      <c r="I225" s="31">
        <v>600</v>
      </c>
      <c r="J225" s="32">
        <v>450</v>
      </c>
    </row>
    <row r="226" spans="1:10" ht="89.25">
      <c r="A226" s="35" t="s">
        <v>182</v>
      </c>
      <c r="B226" s="39" t="s">
        <v>139</v>
      </c>
      <c r="C226" s="39" t="s">
        <v>181</v>
      </c>
      <c r="D226" s="39" t="s">
        <v>183</v>
      </c>
      <c r="E226" s="39"/>
      <c r="F226" s="30">
        <v>1525</v>
      </c>
      <c r="G226" s="15">
        <f t="shared" si="3"/>
        <v>-391.95900000000006</v>
      </c>
      <c r="H226" s="31">
        <v>1133.0409999999999</v>
      </c>
      <c r="I226" s="31">
        <v>600</v>
      </c>
      <c r="J226" s="32">
        <v>450</v>
      </c>
    </row>
    <row r="227" spans="1:10" ht="102">
      <c r="A227" s="37" t="s">
        <v>491</v>
      </c>
      <c r="B227" s="40" t="s">
        <v>139</v>
      </c>
      <c r="C227" s="40" t="s">
        <v>181</v>
      </c>
      <c r="D227" s="40" t="s">
        <v>183</v>
      </c>
      <c r="E227" s="40" t="s">
        <v>34</v>
      </c>
      <c r="F227" s="30">
        <v>1525</v>
      </c>
      <c r="G227" s="15">
        <f t="shared" si="3"/>
        <v>-391.95900000000006</v>
      </c>
      <c r="H227" s="31">
        <v>1133.0409999999999</v>
      </c>
      <c r="I227" s="31">
        <v>600</v>
      </c>
      <c r="J227" s="32">
        <v>450</v>
      </c>
    </row>
    <row r="228" spans="1:10" ht="25.5">
      <c r="A228" s="23" t="s">
        <v>184</v>
      </c>
      <c r="B228" s="24" t="s">
        <v>139</v>
      </c>
      <c r="C228" s="24" t="s">
        <v>181</v>
      </c>
      <c r="D228" s="24" t="s">
        <v>185</v>
      </c>
      <c r="E228" s="24"/>
      <c r="F228" s="25">
        <v>6200</v>
      </c>
      <c r="G228" s="15">
        <f t="shared" si="3"/>
        <v>0</v>
      </c>
      <c r="H228" s="26">
        <v>6200</v>
      </c>
      <c r="I228" s="26">
        <v>2000</v>
      </c>
      <c r="J228" s="27">
        <v>2000</v>
      </c>
    </row>
    <row r="229" spans="1:10" ht="25.5">
      <c r="A229" s="28" t="s">
        <v>186</v>
      </c>
      <c r="B229" s="29" t="s">
        <v>139</v>
      </c>
      <c r="C229" s="29" t="s">
        <v>181</v>
      </c>
      <c r="D229" s="29" t="s">
        <v>187</v>
      </c>
      <c r="E229" s="29"/>
      <c r="F229" s="30">
        <v>6200</v>
      </c>
      <c r="G229" s="15">
        <f t="shared" si="3"/>
        <v>0</v>
      </c>
      <c r="H229" s="31">
        <v>6200</v>
      </c>
      <c r="I229" s="31">
        <v>2000</v>
      </c>
      <c r="J229" s="32">
        <v>2000</v>
      </c>
    </row>
    <row r="230" spans="1:10" ht="38.25">
      <c r="A230" s="33" t="s">
        <v>188</v>
      </c>
      <c r="B230" s="34" t="s">
        <v>139</v>
      </c>
      <c r="C230" s="34" t="s">
        <v>181</v>
      </c>
      <c r="D230" s="34" t="s">
        <v>189</v>
      </c>
      <c r="E230" s="34"/>
      <c r="F230" s="30">
        <v>6200</v>
      </c>
      <c r="G230" s="15">
        <f t="shared" si="3"/>
        <v>0</v>
      </c>
      <c r="H230" s="31">
        <v>6200</v>
      </c>
      <c r="I230" s="31">
        <v>2000</v>
      </c>
      <c r="J230" s="32">
        <v>2000</v>
      </c>
    </row>
    <row r="231" spans="1:10" ht="25.5">
      <c r="A231" s="35" t="s">
        <v>190</v>
      </c>
      <c r="B231" s="39" t="s">
        <v>139</v>
      </c>
      <c r="C231" s="39" t="s">
        <v>181</v>
      </c>
      <c r="D231" s="39" t="s">
        <v>191</v>
      </c>
      <c r="E231" s="39"/>
      <c r="F231" s="30">
        <v>6200</v>
      </c>
      <c r="G231" s="15">
        <f t="shared" si="3"/>
        <v>0</v>
      </c>
      <c r="H231" s="31">
        <v>6200</v>
      </c>
      <c r="I231" s="31">
        <v>2000</v>
      </c>
      <c r="J231" s="32">
        <v>2000</v>
      </c>
    </row>
    <row r="232" spans="1:10" ht="51">
      <c r="A232" s="37" t="s">
        <v>547</v>
      </c>
      <c r="B232" s="40" t="s">
        <v>139</v>
      </c>
      <c r="C232" s="40" t="s">
        <v>181</v>
      </c>
      <c r="D232" s="40" t="s">
        <v>191</v>
      </c>
      <c r="E232" s="40" t="s">
        <v>109</v>
      </c>
      <c r="F232" s="30">
        <v>6200</v>
      </c>
      <c r="G232" s="15">
        <f t="shared" si="3"/>
        <v>0</v>
      </c>
      <c r="H232" s="31">
        <v>6200</v>
      </c>
      <c r="I232" s="31">
        <v>2000</v>
      </c>
      <c r="J232" s="32">
        <v>2000</v>
      </c>
    </row>
    <row r="233" spans="1:10">
      <c r="A233" s="12" t="s">
        <v>192</v>
      </c>
      <c r="B233" s="13" t="s">
        <v>193</v>
      </c>
      <c r="C233" s="13"/>
      <c r="D233" s="13"/>
      <c r="E233" s="13"/>
      <c r="F233" s="14">
        <f>88958.83361+100</f>
        <v>89058.833610000001</v>
      </c>
      <c r="G233" s="15">
        <f t="shared" si="3"/>
        <v>-21742.578269999998</v>
      </c>
      <c r="H233" s="16">
        <v>67316.255340000003</v>
      </c>
      <c r="I233" s="16">
        <v>17004.810450000001</v>
      </c>
      <c r="J233" s="17">
        <v>13140.96045</v>
      </c>
    </row>
    <row r="234" spans="1:10">
      <c r="A234" s="18" t="s">
        <v>194</v>
      </c>
      <c r="B234" s="19" t="s">
        <v>193</v>
      </c>
      <c r="C234" s="19" t="s">
        <v>195</v>
      </c>
      <c r="D234" s="19" t="s">
        <v>195</v>
      </c>
      <c r="E234" s="19"/>
      <c r="F234" s="20">
        <f>52259.14459+100</f>
        <v>52359.144590000004</v>
      </c>
      <c r="G234" s="15">
        <f t="shared" si="3"/>
        <v>-21942.578270000002</v>
      </c>
      <c r="H234" s="21">
        <v>30416.566320000002</v>
      </c>
      <c r="I234" s="21">
        <v>15262.05</v>
      </c>
      <c r="J234" s="22">
        <v>11398.2</v>
      </c>
    </row>
    <row r="235" spans="1:10" ht="51">
      <c r="A235" s="23" t="s">
        <v>196</v>
      </c>
      <c r="B235" s="24" t="s">
        <v>193</v>
      </c>
      <c r="C235" s="24" t="s">
        <v>195</v>
      </c>
      <c r="D235" s="24" t="s">
        <v>197</v>
      </c>
      <c r="E235" s="24"/>
      <c r="F235" s="25">
        <v>39640.137170000002</v>
      </c>
      <c r="G235" s="15">
        <f t="shared" si="3"/>
        <v>-22436.548220000001</v>
      </c>
      <c r="H235" s="26">
        <v>17203.588950000001</v>
      </c>
      <c r="I235" s="26">
        <v>3898.2</v>
      </c>
      <c r="J235" s="27">
        <v>3898.2</v>
      </c>
    </row>
    <row r="236" spans="1:10" ht="27.75" customHeight="1">
      <c r="A236" s="28" t="s">
        <v>198</v>
      </c>
      <c r="B236" s="29" t="s">
        <v>193</v>
      </c>
      <c r="C236" s="29" t="s">
        <v>195</v>
      </c>
      <c r="D236" s="29" t="s">
        <v>199</v>
      </c>
      <c r="E236" s="29"/>
      <c r="F236" s="30">
        <v>39640.137170000002</v>
      </c>
      <c r="G236" s="15">
        <f t="shared" si="3"/>
        <v>-22436.548220000001</v>
      </c>
      <c r="H236" s="31">
        <v>17203.588950000001</v>
      </c>
      <c r="I236" s="31">
        <v>3898.2</v>
      </c>
      <c r="J236" s="32">
        <v>3898.2</v>
      </c>
    </row>
    <row r="237" spans="1:10" ht="27.75" customHeight="1">
      <c r="A237" s="33" t="s">
        <v>200</v>
      </c>
      <c r="B237" s="34" t="s">
        <v>193</v>
      </c>
      <c r="C237" s="34" t="s">
        <v>195</v>
      </c>
      <c r="D237" s="34" t="s">
        <v>201</v>
      </c>
      <c r="E237" s="34"/>
      <c r="F237" s="30">
        <v>5011.8283899999997</v>
      </c>
      <c r="G237" s="15">
        <f t="shared" si="3"/>
        <v>0</v>
      </c>
      <c r="H237" s="31">
        <v>5011.8283899999997</v>
      </c>
      <c r="I237" s="31">
        <v>3898.2</v>
      </c>
      <c r="J237" s="32">
        <v>3898.2</v>
      </c>
    </row>
    <row r="238" spans="1:10" ht="48" customHeight="1">
      <c r="A238" s="33" t="s">
        <v>604</v>
      </c>
      <c r="B238" s="59" t="s">
        <v>193</v>
      </c>
      <c r="C238" s="59" t="s">
        <v>195</v>
      </c>
      <c r="D238" s="34" t="s">
        <v>603</v>
      </c>
      <c r="E238" s="34"/>
      <c r="F238" s="30">
        <v>3596.6599700000002</v>
      </c>
      <c r="G238" s="15">
        <f t="shared" si="3"/>
        <v>0</v>
      </c>
      <c r="H238" s="31">
        <v>3596.6599700000002</v>
      </c>
      <c r="I238" s="31">
        <v>0</v>
      </c>
      <c r="J238" s="32">
        <v>0</v>
      </c>
    </row>
    <row r="239" spans="1:10" ht="64.5" customHeight="1">
      <c r="A239" s="33" t="s">
        <v>605</v>
      </c>
      <c r="B239" s="59" t="s">
        <v>193</v>
      </c>
      <c r="C239" s="59" t="s">
        <v>195</v>
      </c>
      <c r="D239" s="34" t="s">
        <v>603</v>
      </c>
      <c r="E239" s="59" t="s">
        <v>48</v>
      </c>
      <c r="F239" s="30">
        <v>3596.6599700000002</v>
      </c>
      <c r="G239" s="15">
        <f t="shared" si="3"/>
        <v>0</v>
      </c>
      <c r="H239" s="31">
        <v>3596.6599700000002</v>
      </c>
      <c r="I239" s="31">
        <v>0</v>
      </c>
      <c r="J239" s="32">
        <v>0</v>
      </c>
    </row>
    <row r="240" spans="1:10" ht="54" customHeight="1">
      <c r="A240" s="35" t="s">
        <v>646</v>
      </c>
      <c r="B240" s="66" t="s">
        <v>193</v>
      </c>
      <c r="C240" s="66" t="s">
        <v>195</v>
      </c>
      <c r="D240" s="66" t="s">
        <v>587</v>
      </c>
      <c r="E240" s="40"/>
      <c r="F240" s="30">
        <v>1415.16842</v>
      </c>
      <c r="G240" s="15">
        <f t="shared" si="3"/>
        <v>0</v>
      </c>
      <c r="H240" s="31">
        <v>1415.16842</v>
      </c>
      <c r="I240" s="31">
        <v>0</v>
      </c>
      <c r="J240" s="32">
        <v>0</v>
      </c>
    </row>
    <row r="241" spans="1:10" ht="89.25">
      <c r="A241" s="37" t="s">
        <v>701</v>
      </c>
      <c r="B241" s="66" t="s">
        <v>193</v>
      </c>
      <c r="C241" s="66" t="s">
        <v>195</v>
      </c>
      <c r="D241" s="66" t="s">
        <v>587</v>
      </c>
      <c r="E241" s="66" t="s">
        <v>48</v>
      </c>
      <c r="F241" s="30">
        <v>1415.16842</v>
      </c>
      <c r="G241" s="15">
        <f t="shared" si="3"/>
        <v>0</v>
      </c>
      <c r="H241" s="31">
        <v>1415.16842</v>
      </c>
      <c r="I241" s="31">
        <v>0</v>
      </c>
      <c r="J241" s="32">
        <v>0</v>
      </c>
    </row>
    <row r="242" spans="1:10" ht="25.5">
      <c r="A242" s="35" t="s">
        <v>202</v>
      </c>
      <c r="B242" s="39" t="s">
        <v>193</v>
      </c>
      <c r="C242" s="39" t="s">
        <v>195</v>
      </c>
      <c r="D242" s="39" t="s">
        <v>203</v>
      </c>
      <c r="E242" s="39"/>
      <c r="F242" s="30">
        <v>0</v>
      </c>
      <c r="G242" s="15">
        <f t="shared" si="3"/>
        <v>0</v>
      </c>
      <c r="H242" s="31">
        <v>0</v>
      </c>
      <c r="I242" s="31">
        <v>3898.2</v>
      </c>
      <c r="J242" s="32">
        <v>3898.2</v>
      </c>
    </row>
    <row r="243" spans="1:10" ht="25.5">
      <c r="A243" s="37" t="s">
        <v>591</v>
      </c>
      <c r="B243" s="40" t="s">
        <v>193</v>
      </c>
      <c r="C243" s="40" t="s">
        <v>195</v>
      </c>
      <c r="D243" s="40" t="s">
        <v>203</v>
      </c>
      <c r="E243" s="40" t="s">
        <v>48</v>
      </c>
      <c r="F243" s="30">
        <v>0</v>
      </c>
      <c r="G243" s="15">
        <f t="shared" si="3"/>
        <v>0</v>
      </c>
      <c r="H243" s="31">
        <v>0</v>
      </c>
      <c r="I243" s="31">
        <v>3898.2</v>
      </c>
      <c r="J243" s="32">
        <v>3898.2</v>
      </c>
    </row>
    <row r="244" spans="1:10">
      <c r="A244" s="33" t="s">
        <v>435</v>
      </c>
      <c r="B244" s="34" t="s">
        <v>193</v>
      </c>
      <c r="C244" s="34" t="s">
        <v>195</v>
      </c>
      <c r="D244" s="34" t="s">
        <v>436</v>
      </c>
      <c r="E244" s="34"/>
      <c r="F244" s="30">
        <v>12091.370559999999</v>
      </c>
      <c r="G244" s="15">
        <f t="shared" si="3"/>
        <v>0</v>
      </c>
      <c r="H244" s="31">
        <v>12091.370559999999</v>
      </c>
      <c r="I244" s="31">
        <v>0</v>
      </c>
      <c r="J244" s="32">
        <v>0</v>
      </c>
    </row>
    <row r="245" spans="1:10" ht="25.5">
      <c r="A245" s="35" t="s">
        <v>437</v>
      </c>
      <c r="B245" s="39" t="s">
        <v>193</v>
      </c>
      <c r="C245" s="39" t="s">
        <v>195</v>
      </c>
      <c r="D245" s="39" t="s">
        <v>438</v>
      </c>
      <c r="E245" s="39"/>
      <c r="F245" s="30">
        <v>12091.370559999999</v>
      </c>
      <c r="G245" s="15">
        <f t="shared" si="3"/>
        <v>0</v>
      </c>
      <c r="H245" s="31">
        <v>12091.370559999999</v>
      </c>
      <c r="I245" s="31">
        <v>0</v>
      </c>
      <c r="J245" s="32">
        <v>0</v>
      </c>
    </row>
    <row r="246" spans="1:10" ht="25.5">
      <c r="A246" s="37" t="s">
        <v>594</v>
      </c>
      <c r="B246" s="40" t="s">
        <v>193</v>
      </c>
      <c r="C246" s="40" t="s">
        <v>195</v>
      </c>
      <c r="D246" s="40" t="s">
        <v>438</v>
      </c>
      <c r="E246" s="66" t="s">
        <v>48</v>
      </c>
      <c r="F246" s="30">
        <v>12091.370559999999</v>
      </c>
      <c r="G246" s="15">
        <f t="shared" si="3"/>
        <v>0</v>
      </c>
      <c r="H246" s="31">
        <v>12091.370559999999</v>
      </c>
      <c r="I246" s="31">
        <v>0</v>
      </c>
      <c r="J246" s="32">
        <v>0</v>
      </c>
    </row>
    <row r="247" spans="1:10" ht="25.5">
      <c r="A247" s="37" t="s">
        <v>224</v>
      </c>
      <c r="B247" s="66" t="s">
        <v>193</v>
      </c>
      <c r="C247" s="66" t="s">
        <v>195</v>
      </c>
      <c r="D247" s="66" t="s">
        <v>592</v>
      </c>
      <c r="E247" s="40"/>
      <c r="F247" s="30">
        <v>100.39</v>
      </c>
      <c r="G247" s="15">
        <f t="shared" si="3"/>
        <v>0</v>
      </c>
      <c r="H247" s="31">
        <v>100.39</v>
      </c>
      <c r="I247" s="31">
        <v>0</v>
      </c>
      <c r="J247" s="32">
        <v>0</v>
      </c>
    </row>
    <row r="248" spans="1:10">
      <c r="A248" s="37" t="s">
        <v>588</v>
      </c>
      <c r="B248" s="66" t="s">
        <v>193</v>
      </c>
      <c r="C248" s="66" t="s">
        <v>195</v>
      </c>
      <c r="D248" s="66" t="s">
        <v>590</v>
      </c>
      <c r="E248" s="40"/>
      <c r="F248" s="30">
        <v>100.39</v>
      </c>
      <c r="G248" s="15">
        <f t="shared" si="3"/>
        <v>0</v>
      </c>
      <c r="H248" s="31">
        <v>100.39</v>
      </c>
      <c r="I248" s="31">
        <v>0</v>
      </c>
      <c r="J248" s="32">
        <v>0</v>
      </c>
    </row>
    <row r="249" spans="1:10" ht="25.5">
      <c r="A249" s="37" t="s">
        <v>589</v>
      </c>
      <c r="B249" s="66" t="s">
        <v>193</v>
      </c>
      <c r="C249" s="66" t="s">
        <v>195</v>
      </c>
      <c r="D249" s="66" t="s">
        <v>590</v>
      </c>
      <c r="E249" s="66" t="s">
        <v>48</v>
      </c>
      <c r="F249" s="30">
        <v>100.39</v>
      </c>
      <c r="G249" s="15">
        <f t="shared" si="3"/>
        <v>0</v>
      </c>
      <c r="H249" s="31">
        <v>100.39</v>
      </c>
      <c r="I249" s="31">
        <v>0</v>
      </c>
      <c r="J249" s="32">
        <v>0</v>
      </c>
    </row>
    <row r="250" spans="1:10" ht="25.5">
      <c r="A250" s="33" t="s">
        <v>439</v>
      </c>
      <c r="B250" s="34" t="s">
        <v>193</v>
      </c>
      <c r="C250" s="34" t="s">
        <v>195</v>
      </c>
      <c r="D250" s="34" t="s">
        <v>440</v>
      </c>
      <c r="E250" s="34"/>
      <c r="F250" s="30">
        <v>22436.548220000001</v>
      </c>
      <c r="G250" s="15">
        <f t="shared" si="3"/>
        <v>-22436.548220000001</v>
      </c>
      <c r="H250" s="31"/>
      <c r="I250" s="31"/>
      <c r="J250" s="32"/>
    </row>
    <row r="251" spans="1:10" ht="25.5">
      <c r="A251" s="35" t="s">
        <v>441</v>
      </c>
      <c r="B251" s="39" t="s">
        <v>193</v>
      </c>
      <c r="C251" s="39" t="s">
        <v>195</v>
      </c>
      <c r="D251" s="39" t="s">
        <v>442</v>
      </c>
      <c r="E251" s="39"/>
      <c r="F251" s="30">
        <v>22436.548220000001</v>
      </c>
      <c r="G251" s="15">
        <f t="shared" si="3"/>
        <v>-22436.548220000001</v>
      </c>
      <c r="H251" s="31"/>
      <c r="I251" s="31"/>
      <c r="J251" s="32"/>
    </row>
    <row r="252" spans="1:10" ht="38.25">
      <c r="A252" s="37" t="s">
        <v>595</v>
      </c>
      <c r="B252" s="40" t="s">
        <v>193</v>
      </c>
      <c r="C252" s="40" t="s">
        <v>195</v>
      </c>
      <c r="D252" s="40" t="s">
        <v>442</v>
      </c>
      <c r="E252" s="66" t="s">
        <v>34</v>
      </c>
      <c r="F252" s="30">
        <v>22436.548220000001</v>
      </c>
      <c r="G252" s="15">
        <f t="shared" si="3"/>
        <v>-22436.548220000001</v>
      </c>
      <c r="H252" s="31"/>
      <c r="I252" s="31"/>
      <c r="J252" s="32"/>
    </row>
    <row r="253" spans="1:10" ht="38.25">
      <c r="A253" s="23" t="s">
        <v>204</v>
      </c>
      <c r="B253" s="24" t="s">
        <v>193</v>
      </c>
      <c r="C253" s="24" t="s">
        <v>195</v>
      </c>
      <c r="D253" s="24" t="s">
        <v>205</v>
      </c>
      <c r="E253" s="24"/>
      <c r="F253" s="25">
        <f>8992.97778+100</f>
        <v>9092.9777799999993</v>
      </c>
      <c r="G253" s="15">
        <f t="shared" si="3"/>
        <v>493.96995000000061</v>
      </c>
      <c r="H253" s="26">
        <v>9586.9477299999999</v>
      </c>
      <c r="I253" s="26">
        <v>11112.85</v>
      </c>
      <c r="J253" s="27">
        <v>7500</v>
      </c>
    </row>
    <row r="254" spans="1:10" ht="38.25">
      <c r="A254" s="33" t="s">
        <v>206</v>
      </c>
      <c r="B254" s="34" t="s">
        <v>193</v>
      </c>
      <c r="C254" s="34" t="s">
        <v>195</v>
      </c>
      <c r="D254" s="34" t="s">
        <v>207</v>
      </c>
      <c r="E254" s="34"/>
      <c r="F254" s="30">
        <f>8992.97778+100</f>
        <v>9092.9777799999993</v>
      </c>
      <c r="G254" s="15">
        <f t="shared" si="3"/>
        <v>493.96995000000061</v>
      </c>
      <c r="H254" s="31">
        <v>9586.9477299999999</v>
      </c>
      <c r="I254" s="31">
        <v>11112.85</v>
      </c>
      <c r="J254" s="32">
        <v>7500</v>
      </c>
    </row>
    <row r="255" spans="1:10">
      <c r="A255" s="35" t="s">
        <v>208</v>
      </c>
      <c r="B255" s="39" t="s">
        <v>193</v>
      </c>
      <c r="C255" s="39" t="s">
        <v>195</v>
      </c>
      <c r="D255" s="67" t="s">
        <v>638</v>
      </c>
      <c r="E255" s="39"/>
      <c r="F255" s="30">
        <v>8992.9777799999993</v>
      </c>
      <c r="G255" s="15">
        <f t="shared" si="3"/>
        <v>-1.9499999998515705E-3</v>
      </c>
      <c r="H255" s="31">
        <v>8992.9758299999994</v>
      </c>
      <c r="I255" s="31">
        <v>11112.85</v>
      </c>
      <c r="J255" s="32">
        <v>7500</v>
      </c>
    </row>
    <row r="256" spans="1:10" ht="25.5">
      <c r="A256" s="37" t="s">
        <v>670</v>
      </c>
      <c r="B256" s="38" t="s">
        <v>193</v>
      </c>
      <c r="C256" s="38" t="s">
        <v>195</v>
      </c>
      <c r="D256" s="38" t="s">
        <v>638</v>
      </c>
      <c r="E256" s="38" t="s">
        <v>48</v>
      </c>
      <c r="F256" s="30">
        <v>8992.9777799999993</v>
      </c>
      <c r="G256" s="15">
        <f t="shared" si="3"/>
        <v>-1.9499999998515705E-3</v>
      </c>
      <c r="H256" s="31">
        <v>8992.9758299999994</v>
      </c>
      <c r="I256" s="31">
        <v>11112.85</v>
      </c>
      <c r="J256" s="32">
        <v>7500</v>
      </c>
    </row>
    <row r="257" spans="1:10" ht="38.25">
      <c r="A257" s="37" t="s">
        <v>651</v>
      </c>
      <c r="B257" s="66" t="s">
        <v>193</v>
      </c>
      <c r="C257" s="66" t="s">
        <v>195</v>
      </c>
      <c r="D257" s="66" t="s">
        <v>650</v>
      </c>
      <c r="E257" s="66"/>
      <c r="F257" s="30">
        <v>100</v>
      </c>
      <c r="G257" s="15">
        <f t="shared" si="3"/>
        <v>493.97190000000001</v>
      </c>
      <c r="H257" s="31">
        <v>593.97190000000001</v>
      </c>
      <c r="I257" s="31">
        <v>0</v>
      </c>
      <c r="J257" s="32">
        <v>0</v>
      </c>
    </row>
    <row r="258" spans="1:10" ht="51">
      <c r="A258" s="37" t="s">
        <v>652</v>
      </c>
      <c r="B258" s="66" t="s">
        <v>193</v>
      </c>
      <c r="C258" s="66" t="s">
        <v>195</v>
      </c>
      <c r="D258" s="66" t="s">
        <v>650</v>
      </c>
      <c r="E258" s="66" t="s">
        <v>48</v>
      </c>
      <c r="F258" s="30">
        <v>100</v>
      </c>
      <c r="G258" s="15">
        <f t="shared" ref="G258" si="4">SUM(H258-F258)</f>
        <v>493.97190000000001</v>
      </c>
      <c r="H258" s="31">
        <v>593.97190000000001</v>
      </c>
      <c r="I258" s="31">
        <v>0</v>
      </c>
      <c r="J258" s="32">
        <v>0</v>
      </c>
    </row>
    <row r="259" spans="1:10" ht="51">
      <c r="A259" s="23" t="s">
        <v>98</v>
      </c>
      <c r="B259" s="24" t="s">
        <v>193</v>
      </c>
      <c r="C259" s="24" t="s">
        <v>195</v>
      </c>
      <c r="D259" s="24" t="s">
        <v>99</v>
      </c>
      <c r="E259" s="24"/>
      <c r="F259" s="25">
        <v>1335.75584</v>
      </c>
      <c r="G259" s="15">
        <f t="shared" si="3"/>
        <v>0</v>
      </c>
      <c r="H259" s="26">
        <v>1335.75584</v>
      </c>
      <c r="I259" s="26">
        <v>251</v>
      </c>
      <c r="J259" s="27">
        <v>0</v>
      </c>
    </row>
    <row r="260" spans="1:10" ht="38.25">
      <c r="A260" s="28" t="s">
        <v>100</v>
      </c>
      <c r="B260" s="29" t="s">
        <v>193</v>
      </c>
      <c r="C260" s="29" t="s">
        <v>195</v>
      </c>
      <c r="D260" s="29" t="s">
        <v>101</v>
      </c>
      <c r="E260" s="29"/>
      <c r="F260" s="30">
        <v>1335.75584</v>
      </c>
      <c r="G260" s="15">
        <f t="shared" si="3"/>
        <v>0</v>
      </c>
      <c r="H260" s="31">
        <v>1335.75584</v>
      </c>
      <c r="I260" s="31">
        <v>251</v>
      </c>
      <c r="J260" s="32">
        <v>0</v>
      </c>
    </row>
    <row r="261" spans="1:10" ht="38.25">
      <c r="A261" s="33" t="s">
        <v>391</v>
      </c>
      <c r="B261" s="34" t="s">
        <v>193</v>
      </c>
      <c r="C261" s="34" t="s">
        <v>195</v>
      </c>
      <c r="D261" s="34" t="s">
        <v>392</v>
      </c>
      <c r="E261" s="34"/>
      <c r="F261" s="30">
        <v>1335.75584</v>
      </c>
      <c r="G261" s="15">
        <f t="shared" si="3"/>
        <v>0</v>
      </c>
      <c r="H261" s="31">
        <v>1335.75584</v>
      </c>
      <c r="I261" s="31">
        <v>251</v>
      </c>
      <c r="J261" s="32">
        <v>0</v>
      </c>
    </row>
    <row r="262" spans="1:10">
      <c r="A262" s="35" t="s">
        <v>409</v>
      </c>
      <c r="B262" s="39" t="s">
        <v>193</v>
      </c>
      <c r="C262" s="39" t="s">
        <v>195</v>
      </c>
      <c r="D262" s="39" t="s">
        <v>390</v>
      </c>
      <c r="E262" s="39"/>
      <c r="F262" s="30">
        <v>1198.7</v>
      </c>
      <c r="G262" s="15">
        <f t="shared" si="3"/>
        <v>0</v>
      </c>
      <c r="H262" s="31">
        <v>1198.7</v>
      </c>
      <c r="I262" s="31">
        <v>251</v>
      </c>
      <c r="J262" s="32">
        <v>0</v>
      </c>
    </row>
    <row r="263" spans="1:10" ht="25.5">
      <c r="A263" s="37" t="s">
        <v>529</v>
      </c>
      <c r="B263" s="40" t="s">
        <v>193</v>
      </c>
      <c r="C263" s="40" t="s">
        <v>195</v>
      </c>
      <c r="D263" s="40" t="s">
        <v>390</v>
      </c>
      <c r="E263" s="40" t="s">
        <v>48</v>
      </c>
      <c r="F263" s="30">
        <v>1198.7</v>
      </c>
      <c r="G263" s="15">
        <f t="shared" si="3"/>
        <v>0</v>
      </c>
      <c r="H263" s="31">
        <v>1198.7</v>
      </c>
      <c r="I263" s="31">
        <v>251</v>
      </c>
      <c r="J263" s="32">
        <v>0</v>
      </c>
    </row>
    <row r="264" spans="1:10" ht="38.25">
      <c r="A264" s="35" t="s">
        <v>410</v>
      </c>
      <c r="B264" s="39" t="s">
        <v>193</v>
      </c>
      <c r="C264" s="39" t="s">
        <v>195</v>
      </c>
      <c r="D264" s="39" t="s">
        <v>411</v>
      </c>
      <c r="E264" s="39"/>
      <c r="F264" s="30">
        <v>137.05583999999999</v>
      </c>
      <c r="G264" s="15">
        <f t="shared" si="3"/>
        <v>0</v>
      </c>
      <c r="H264" s="31">
        <v>137.05583999999999</v>
      </c>
      <c r="I264" s="31">
        <v>0</v>
      </c>
      <c r="J264" s="32">
        <v>0</v>
      </c>
    </row>
    <row r="265" spans="1:10" ht="51">
      <c r="A265" s="37" t="s">
        <v>685</v>
      </c>
      <c r="B265" s="38" t="s">
        <v>193</v>
      </c>
      <c r="C265" s="38" t="s">
        <v>195</v>
      </c>
      <c r="D265" s="38" t="s">
        <v>411</v>
      </c>
      <c r="E265" s="38" t="s">
        <v>34</v>
      </c>
      <c r="F265" s="30">
        <v>137.05583999999999</v>
      </c>
      <c r="G265" s="15">
        <f t="shared" si="3"/>
        <v>0</v>
      </c>
      <c r="H265" s="31">
        <v>137.05583999999999</v>
      </c>
      <c r="I265" s="31">
        <v>0</v>
      </c>
      <c r="J265" s="32">
        <v>0</v>
      </c>
    </row>
    <row r="266" spans="1:10" ht="51">
      <c r="A266" s="47" t="s">
        <v>66</v>
      </c>
      <c r="B266" s="48" t="s">
        <v>193</v>
      </c>
      <c r="C266" s="48" t="s">
        <v>195</v>
      </c>
      <c r="D266" s="48" t="s">
        <v>67</v>
      </c>
      <c r="E266" s="48"/>
      <c r="F266" s="25">
        <v>2290.2737999999999</v>
      </c>
      <c r="G266" s="15">
        <f t="shared" si="3"/>
        <v>0</v>
      </c>
      <c r="H266" s="26">
        <v>2290.2737999999999</v>
      </c>
      <c r="I266" s="26">
        <v>0</v>
      </c>
      <c r="J266" s="27">
        <v>0</v>
      </c>
    </row>
    <row r="267" spans="1:10" ht="25.5">
      <c r="A267" s="33" t="s">
        <v>68</v>
      </c>
      <c r="B267" s="50" t="s">
        <v>193</v>
      </c>
      <c r="C267" s="50" t="s">
        <v>195</v>
      </c>
      <c r="D267" s="50" t="s">
        <v>69</v>
      </c>
      <c r="E267" s="50"/>
      <c r="F267" s="30">
        <v>2290.2737999999999</v>
      </c>
      <c r="G267" s="15">
        <f t="shared" si="3"/>
        <v>0</v>
      </c>
      <c r="H267" s="31">
        <v>2290.2737999999999</v>
      </c>
      <c r="I267" s="31">
        <v>0</v>
      </c>
      <c r="J267" s="32">
        <v>0</v>
      </c>
    </row>
    <row r="268" spans="1:10" ht="51">
      <c r="A268" s="35" t="s">
        <v>722</v>
      </c>
      <c r="B268" s="36" t="s">
        <v>193</v>
      </c>
      <c r="C268" s="36" t="s">
        <v>195</v>
      </c>
      <c r="D268" s="36" t="s">
        <v>636</v>
      </c>
      <c r="E268" s="36"/>
      <c r="F268" s="30">
        <v>2255</v>
      </c>
      <c r="G268" s="15">
        <f t="shared" si="3"/>
        <v>0</v>
      </c>
      <c r="H268" s="31">
        <v>2255</v>
      </c>
      <c r="I268" s="31">
        <v>0</v>
      </c>
      <c r="J268" s="32">
        <v>0</v>
      </c>
    </row>
    <row r="269" spans="1:10" ht="63.75">
      <c r="A269" s="37" t="s">
        <v>702</v>
      </c>
      <c r="B269" s="38" t="s">
        <v>193</v>
      </c>
      <c r="C269" s="38" t="s">
        <v>195</v>
      </c>
      <c r="D269" s="38" t="s">
        <v>636</v>
      </c>
      <c r="E269" s="38" t="s">
        <v>48</v>
      </c>
      <c r="F269" s="30">
        <v>2255</v>
      </c>
      <c r="G269" s="15">
        <f t="shared" si="3"/>
        <v>0</v>
      </c>
      <c r="H269" s="31">
        <v>2255</v>
      </c>
      <c r="I269" s="31">
        <v>0</v>
      </c>
      <c r="J269" s="32">
        <v>0</v>
      </c>
    </row>
    <row r="270" spans="1:10" ht="63.75">
      <c r="A270" s="35" t="s">
        <v>70</v>
      </c>
      <c r="B270" s="36" t="s">
        <v>193</v>
      </c>
      <c r="C270" s="36" t="s">
        <v>195</v>
      </c>
      <c r="D270" s="36" t="s">
        <v>71</v>
      </c>
      <c r="E270" s="36"/>
      <c r="F270" s="30">
        <v>35.273800000000001</v>
      </c>
      <c r="G270" s="15">
        <f t="shared" si="3"/>
        <v>0</v>
      </c>
      <c r="H270" s="31">
        <v>35.273800000000001</v>
      </c>
      <c r="I270" s="31">
        <v>0</v>
      </c>
      <c r="J270" s="32">
        <v>0</v>
      </c>
    </row>
    <row r="271" spans="1:10" ht="63.75">
      <c r="A271" s="37" t="s">
        <v>671</v>
      </c>
      <c r="B271" s="38" t="s">
        <v>193</v>
      </c>
      <c r="C271" s="38" t="s">
        <v>195</v>
      </c>
      <c r="D271" s="38" t="s">
        <v>71</v>
      </c>
      <c r="E271" s="38" t="s">
        <v>48</v>
      </c>
      <c r="F271" s="30">
        <v>35.273800000000001</v>
      </c>
      <c r="G271" s="15">
        <f t="shared" si="3"/>
        <v>0</v>
      </c>
      <c r="H271" s="31">
        <v>35.273800000000001</v>
      </c>
      <c r="I271" s="31">
        <v>0</v>
      </c>
      <c r="J271" s="32">
        <v>0</v>
      </c>
    </row>
    <row r="272" spans="1:10">
      <c r="A272" s="18" t="s">
        <v>209</v>
      </c>
      <c r="B272" s="19" t="s">
        <v>193</v>
      </c>
      <c r="C272" s="19" t="s">
        <v>210</v>
      </c>
      <c r="D272" s="19"/>
      <c r="E272" s="19"/>
      <c r="F272" s="20">
        <v>4793.7890200000002</v>
      </c>
      <c r="G272" s="15">
        <f t="shared" si="3"/>
        <v>200</v>
      </c>
      <c r="H272" s="21">
        <v>4993.7890200000002</v>
      </c>
      <c r="I272" s="21">
        <v>1742.76045</v>
      </c>
      <c r="J272" s="22">
        <v>1742.76045</v>
      </c>
    </row>
    <row r="273" spans="1:10" ht="38.25">
      <c r="A273" s="23" t="s">
        <v>204</v>
      </c>
      <c r="B273" s="24" t="s">
        <v>193</v>
      </c>
      <c r="C273" s="24" t="s">
        <v>210</v>
      </c>
      <c r="D273" s="24" t="s">
        <v>205</v>
      </c>
      <c r="E273" s="24"/>
      <c r="F273" s="25">
        <v>1742.76045</v>
      </c>
      <c r="G273" s="15">
        <f t="shared" si="3"/>
        <v>0</v>
      </c>
      <c r="H273" s="26">
        <v>1742.76045</v>
      </c>
      <c r="I273" s="26">
        <v>1742.76045</v>
      </c>
      <c r="J273" s="27">
        <v>1742.76045</v>
      </c>
    </row>
    <row r="274" spans="1:10" ht="38.25">
      <c r="A274" s="33" t="s">
        <v>206</v>
      </c>
      <c r="B274" s="34" t="s">
        <v>193</v>
      </c>
      <c r="C274" s="34" t="s">
        <v>210</v>
      </c>
      <c r="D274" s="34" t="s">
        <v>207</v>
      </c>
      <c r="E274" s="34"/>
      <c r="F274" s="30">
        <v>1742.76045</v>
      </c>
      <c r="G274" s="15">
        <f t="shared" si="3"/>
        <v>0</v>
      </c>
      <c r="H274" s="31">
        <v>1742.76045</v>
      </c>
      <c r="I274" s="31">
        <v>1742.76045</v>
      </c>
      <c r="J274" s="32">
        <v>1742.76045</v>
      </c>
    </row>
    <row r="275" spans="1:10">
      <c r="A275" s="35" t="s">
        <v>211</v>
      </c>
      <c r="B275" s="39" t="s">
        <v>193</v>
      </c>
      <c r="C275" s="39" t="s">
        <v>210</v>
      </c>
      <c r="D275" s="39" t="s">
        <v>212</v>
      </c>
      <c r="E275" s="39"/>
      <c r="F275" s="30">
        <v>1742.76045</v>
      </c>
      <c r="G275" s="15">
        <f t="shared" si="3"/>
        <v>0</v>
      </c>
      <c r="H275" s="31">
        <v>1742.76045</v>
      </c>
      <c r="I275" s="31">
        <v>1742.76045</v>
      </c>
      <c r="J275" s="32">
        <v>1742.76045</v>
      </c>
    </row>
    <row r="276" spans="1:10">
      <c r="A276" s="37" t="s">
        <v>530</v>
      </c>
      <c r="B276" s="40" t="s">
        <v>193</v>
      </c>
      <c r="C276" s="40" t="s">
        <v>210</v>
      </c>
      <c r="D276" s="40" t="s">
        <v>212</v>
      </c>
      <c r="E276" s="40" t="s">
        <v>48</v>
      </c>
      <c r="F276" s="30">
        <v>1742.76045</v>
      </c>
      <c r="G276" s="15">
        <f t="shared" si="3"/>
        <v>0</v>
      </c>
      <c r="H276" s="31">
        <v>1742.76045</v>
      </c>
      <c r="I276" s="31">
        <v>1742.76045</v>
      </c>
      <c r="J276" s="32">
        <v>1742.76045</v>
      </c>
    </row>
    <row r="277" spans="1:10" ht="51">
      <c r="A277" s="23" t="s">
        <v>98</v>
      </c>
      <c r="B277" s="24" t="s">
        <v>193</v>
      </c>
      <c r="C277" s="24" t="s">
        <v>210</v>
      </c>
      <c r="D277" s="24" t="s">
        <v>99</v>
      </c>
      <c r="E277" s="24"/>
      <c r="F277" s="25">
        <v>3051.0285699999999</v>
      </c>
      <c r="G277" s="15">
        <f t="shared" si="3"/>
        <v>200</v>
      </c>
      <c r="H277" s="26">
        <v>3251.0285699999999</v>
      </c>
      <c r="I277" s="26">
        <v>0</v>
      </c>
      <c r="J277" s="27">
        <v>0</v>
      </c>
    </row>
    <row r="278" spans="1:10" ht="25.5">
      <c r="A278" s="28" t="s">
        <v>213</v>
      </c>
      <c r="B278" s="29" t="s">
        <v>193</v>
      </c>
      <c r="C278" s="29" t="s">
        <v>210</v>
      </c>
      <c r="D278" s="29" t="s">
        <v>214</v>
      </c>
      <c r="E278" s="29"/>
      <c r="F278" s="30">
        <v>3051.0285699999999</v>
      </c>
      <c r="G278" s="15">
        <f t="shared" si="3"/>
        <v>200</v>
      </c>
      <c r="H278" s="31">
        <v>3251.0285699999999</v>
      </c>
      <c r="I278" s="31">
        <v>0</v>
      </c>
      <c r="J278" s="32">
        <v>0</v>
      </c>
    </row>
    <row r="279" spans="1:10" ht="25.5">
      <c r="A279" s="33" t="s">
        <v>599</v>
      </c>
      <c r="B279" s="34" t="s">
        <v>193</v>
      </c>
      <c r="C279" s="34" t="s">
        <v>210</v>
      </c>
      <c r="D279" s="34" t="s">
        <v>215</v>
      </c>
      <c r="E279" s="34"/>
      <c r="F279" s="30">
        <v>3051.0285699999999</v>
      </c>
      <c r="G279" s="15">
        <f t="shared" si="3"/>
        <v>200</v>
      </c>
      <c r="H279" s="31">
        <v>3251.0285699999999</v>
      </c>
      <c r="I279" s="31">
        <v>0</v>
      </c>
      <c r="J279" s="32">
        <v>0</v>
      </c>
    </row>
    <row r="280" spans="1:10">
      <c r="A280" s="68" t="s">
        <v>601</v>
      </c>
      <c r="B280" s="59" t="s">
        <v>193</v>
      </c>
      <c r="C280" s="59" t="s">
        <v>210</v>
      </c>
      <c r="D280" s="59" t="s">
        <v>606</v>
      </c>
      <c r="E280" s="34"/>
      <c r="F280" s="30">
        <v>50</v>
      </c>
      <c r="G280" s="15">
        <f t="shared" si="3"/>
        <v>200</v>
      </c>
      <c r="H280" s="31">
        <v>250</v>
      </c>
      <c r="I280" s="31">
        <v>0</v>
      </c>
      <c r="J280" s="32">
        <v>0</v>
      </c>
    </row>
    <row r="281" spans="1:10" ht="25.5">
      <c r="A281" s="68" t="s">
        <v>607</v>
      </c>
      <c r="B281" s="59" t="s">
        <v>193</v>
      </c>
      <c r="C281" s="59" t="s">
        <v>210</v>
      </c>
      <c r="D281" s="59" t="s">
        <v>606</v>
      </c>
      <c r="E281" s="59" t="s">
        <v>48</v>
      </c>
      <c r="F281" s="30">
        <v>50</v>
      </c>
      <c r="G281" s="15">
        <f t="shared" si="3"/>
        <v>200</v>
      </c>
      <c r="H281" s="31">
        <v>250</v>
      </c>
      <c r="I281" s="31">
        <v>0</v>
      </c>
      <c r="J281" s="32">
        <v>0</v>
      </c>
    </row>
    <row r="282" spans="1:10" ht="76.5">
      <c r="A282" s="35" t="s">
        <v>216</v>
      </c>
      <c r="B282" s="39" t="s">
        <v>193</v>
      </c>
      <c r="C282" s="39" t="s">
        <v>210</v>
      </c>
      <c r="D282" s="39" t="s">
        <v>217</v>
      </c>
      <c r="E282" s="39"/>
      <c r="F282" s="30">
        <v>3001.0285699999999</v>
      </c>
      <c r="G282" s="15">
        <f t="shared" si="3"/>
        <v>0</v>
      </c>
      <c r="H282" s="31">
        <v>3001.0285699999999</v>
      </c>
      <c r="I282" s="31">
        <v>0</v>
      </c>
      <c r="J282" s="32">
        <v>0</v>
      </c>
    </row>
    <row r="283" spans="1:10" ht="89.25">
      <c r="A283" s="37" t="s">
        <v>531</v>
      </c>
      <c r="B283" s="40" t="s">
        <v>193</v>
      </c>
      <c r="C283" s="40" t="s">
        <v>210</v>
      </c>
      <c r="D283" s="40" t="s">
        <v>217</v>
      </c>
      <c r="E283" s="40" t="s">
        <v>48</v>
      </c>
      <c r="F283" s="30">
        <v>3001.0285699999999</v>
      </c>
      <c r="G283" s="15">
        <f t="shared" si="3"/>
        <v>0</v>
      </c>
      <c r="H283" s="31">
        <v>3001.0285699999999</v>
      </c>
      <c r="I283" s="31">
        <v>0</v>
      </c>
      <c r="J283" s="32">
        <v>0</v>
      </c>
    </row>
    <row r="284" spans="1:10" ht="25.5">
      <c r="A284" s="18" t="s">
        <v>218</v>
      </c>
      <c r="B284" s="19" t="s">
        <v>193</v>
      </c>
      <c r="C284" s="19" t="s">
        <v>219</v>
      </c>
      <c r="D284" s="19"/>
      <c r="E284" s="19"/>
      <c r="F284" s="20">
        <v>31905.9</v>
      </c>
      <c r="G284" s="15">
        <f t="shared" si="3"/>
        <v>0</v>
      </c>
      <c r="H284" s="21">
        <v>31905.9</v>
      </c>
      <c r="I284" s="21">
        <v>0</v>
      </c>
      <c r="J284" s="22">
        <v>0</v>
      </c>
    </row>
    <row r="285" spans="1:10" ht="51">
      <c r="A285" s="23" t="s">
        <v>196</v>
      </c>
      <c r="B285" s="24" t="s">
        <v>193</v>
      </c>
      <c r="C285" s="24" t="s">
        <v>219</v>
      </c>
      <c r="D285" s="24" t="s">
        <v>197</v>
      </c>
      <c r="E285" s="24"/>
      <c r="F285" s="25">
        <v>31905.9</v>
      </c>
      <c r="G285" s="15">
        <f t="shared" si="3"/>
        <v>0</v>
      </c>
      <c r="H285" s="26">
        <v>31905.9</v>
      </c>
      <c r="I285" s="26">
        <v>0</v>
      </c>
      <c r="J285" s="27">
        <v>0</v>
      </c>
    </row>
    <row r="286" spans="1:10" ht="38.25">
      <c r="A286" s="28" t="s">
        <v>220</v>
      </c>
      <c r="B286" s="29" t="s">
        <v>193</v>
      </c>
      <c r="C286" s="29" t="s">
        <v>219</v>
      </c>
      <c r="D286" s="29" t="s">
        <v>221</v>
      </c>
      <c r="E286" s="29"/>
      <c r="F286" s="30">
        <v>28355.1</v>
      </c>
      <c r="G286" s="15">
        <f t="shared" ref="G286:G350" si="5">SUM(H286-F286)</f>
        <v>0</v>
      </c>
      <c r="H286" s="31">
        <v>28355.1</v>
      </c>
      <c r="I286" s="31">
        <v>0</v>
      </c>
      <c r="J286" s="32">
        <v>0</v>
      </c>
    </row>
    <row r="287" spans="1:10" ht="38.25">
      <c r="A287" s="33" t="s">
        <v>412</v>
      </c>
      <c r="B287" s="34" t="s">
        <v>193</v>
      </c>
      <c r="C287" s="34" t="s">
        <v>219</v>
      </c>
      <c r="D287" s="34" t="s">
        <v>413</v>
      </c>
      <c r="E287" s="34"/>
      <c r="F287" s="30">
        <v>28355.1</v>
      </c>
      <c r="G287" s="15">
        <f t="shared" si="5"/>
        <v>0</v>
      </c>
      <c r="H287" s="31">
        <v>28355.1</v>
      </c>
      <c r="I287" s="31">
        <v>0</v>
      </c>
      <c r="J287" s="32">
        <v>0</v>
      </c>
    </row>
    <row r="288" spans="1:10" ht="38.25">
      <c r="A288" s="35" t="s">
        <v>414</v>
      </c>
      <c r="B288" s="39" t="s">
        <v>193</v>
      </c>
      <c r="C288" s="39" t="s">
        <v>219</v>
      </c>
      <c r="D288" s="39" t="s">
        <v>415</v>
      </c>
      <c r="E288" s="39"/>
      <c r="F288" s="30">
        <v>28355.1</v>
      </c>
      <c r="G288" s="15">
        <f t="shared" si="5"/>
        <v>0</v>
      </c>
      <c r="H288" s="31">
        <v>28355.1</v>
      </c>
      <c r="I288" s="31">
        <v>0</v>
      </c>
      <c r="J288" s="32">
        <v>0</v>
      </c>
    </row>
    <row r="289" spans="1:10" ht="51">
      <c r="A289" s="37" t="s">
        <v>532</v>
      </c>
      <c r="B289" s="40" t="s">
        <v>193</v>
      </c>
      <c r="C289" s="40" t="s">
        <v>219</v>
      </c>
      <c r="D289" s="40" t="s">
        <v>415</v>
      </c>
      <c r="E289" s="40" t="s">
        <v>48</v>
      </c>
      <c r="F289" s="30">
        <v>28355.1</v>
      </c>
      <c r="G289" s="15">
        <f t="shared" si="5"/>
        <v>0</v>
      </c>
      <c r="H289" s="31">
        <v>28355.1</v>
      </c>
      <c r="I289" s="31">
        <v>0</v>
      </c>
      <c r="J289" s="32">
        <v>0</v>
      </c>
    </row>
    <row r="290" spans="1:10" ht="38.25">
      <c r="A290" s="28" t="s">
        <v>198</v>
      </c>
      <c r="B290" s="29" t="s">
        <v>193</v>
      </c>
      <c r="C290" s="29" t="s">
        <v>219</v>
      </c>
      <c r="D290" s="29" t="s">
        <v>199</v>
      </c>
      <c r="E290" s="29"/>
      <c r="F290" s="30">
        <v>3550.8</v>
      </c>
      <c r="G290" s="15">
        <f t="shared" si="5"/>
        <v>0</v>
      </c>
      <c r="H290" s="31">
        <v>3550.8</v>
      </c>
      <c r="I290" s="31">
        <v>0</v>
      </c>
      <c r="J290" s="32">
        <v>0</v>
      </c>
    </row>
    <row r="291" spans="1:10" ht="25.5">
      <c r="A291" s="33" t="s">
        <v>224</v>
      </c>
      <c r="B291" s="34" t="s">
        <v>193</v>
      </c>
      <c r="C291" s="34" t="s">
        <v>219</v>
      </c>
      <c r="D291" s="34" t="s">
        <v>225</v>
      </c>
      <c r="E291" s="34"/>
      <c r="F291" s="30">
        <v>3550.8</v>
      </c>
      <c r="G291" s="15">
        <f t="shared" si="5"/>
        <v>0</v>
      </c>
      <c r="H291" s="31">
        <v>3550.8</v>
      </c>
      <c r="I291" s="31">
        <v>0</v>
      </c>
      <c r="J291" s="32">
        <v>0</v>
      </c>
    </row>
    <row r="292" spans="1:10" ht="25.5">
      <c r="A292" s="35" t="s">
        <v>416</v>
      </c>
      <c r="B292" s="39" t="s">
        <v>193</v>
      </c>
      <c r="C292" s="39" t="s">
        <v>219</v>
      </c>
      <c r="D292" s="39" t="s">
        <v>417</v>
      </c>
      <c r="E292" s="39"/>
      <c r="F292" s="30">
        <v>3550.8</v>
      </c>
      <c r="G292" s="15">
        <f t="shared" si="5"/>
        <v>0</v>
      </c>
      <c r="H292" s="31">
        <v>3550.8</v>
      </c>
      <c r="I292" s="31">
        <v>0</v>
      </c>
      <c r="J292" s="32">
        <v>0</v>
      </c>
    </row>
    <row r="293" spans="1:10" ht="25.5">
      <c r="A293" s="37" t="s">
        <v>533</v>
      </c>
      <c r="B293" s="40" t="s">
        <v>193</v>
      </c>
      <c r="C293" s="40" t="s">
        <v>219</v>
      </c>
      <c r="D293" s="40" t="s">
        <v>417</v>
      </c>
      <c r="E293" s="40" t="s">
        <v>48</v>
      </c>
      <c r="F293" s="30">
        <v>3550.8</v>
      </c>
      <c r="G293" s="15">
        <f t="shared" si="5"/>
        <v>0</v>
      </c>
      <c r="H293" s="31">
        <v>3550.8</v>
      </c>
      <c r="I293" s="31">
        <v>0</v>
      </c>
      <c r="J293" s="32">
        <v>0</v>
      </c>
    </row>
    <row r="294" spans="1:10">
      <c r="A294" s="12" t="s">
        <v>226</v>
      </c>
      <c r="B294" s="13" t="s">
        <v>227</v>
      </c>
      <c r="C294" s="13"/>
      <c r="D294" s="13"/>
      <c r="E294" s="13"/>
      <c r="F294" s="14">
        <f>1173019.26714+13170.7</f>
        <v>1186189.9671399998</v>
      </c>
      <c r="G294" s="15">
        <f t="shared" si="5"/>
        <v>-328323.7856099999</v>
      </c>
      <c r="H294" s="16">
        <v>857866.18152999994</v>
      </c>
      <c r="I294" s="16">
        <v>939416.43160000001</v>
      </c>
      <c r="J294" s="17">
        <v>554516.00560000003</v>
      </c>
    </row>
    <row r="295" spans="1:10">
      <c r="A295" s="18" t="s">
        <v>228</v>
      </c>
      <c r="B295" s="19" t="s">
        <v>227</v>
      </c>
      <c r="C295" s="19" t="s">
        <v>229</v>
      </c>
      <c r="D295" s="19"/>
      <c r="E295" s="19"/>
      <c r="F295" s="20">
        <f>105084.14338+2787.6</f>
        <v>107871.74338</v>
      </c>
      <c r="G295" s="15">
        <f t="shared" si="5"/>
        <v>411.01442000000679</v>
      </c>
      <c r="H295" s="21">
        <v>108282.75780000001</v>
      </c>
      <c r="I295" s="21">
        <v>102313.4</v>
      </c>
      <c r="J295" s="22">
        <v>107815</v>
      </c>
    </row>
    <row r="296" spans="1:10" ht="38.25">
      <c r="A296" s="23" t="s">
        <v>82</v>
      </c>
      <c r="B296" s="24" t="s">
        <v>227</v>
      </c>
      <c r="C296" s="24" t="s">
        <v>229</v>
      </c>
      <c r="D296" s="24" t="s">
        <v>83</v>
      </c>
      <c r="E296" s="24"/>
      <c r="F296" s="42">
        <f>105084.14338+2787.6</f>
        <v>107871.74338</v>
      </c>
      <c r="G296" s="15">
        <f t="shared" si="5"/>
        <v>411.01442000000679</v>
      </c>
      <c r="H296" s="26">
        <v>108282.75780000001</v>
      </c>
      <c r="I296" s="26">
        <v>102313.4</v>
      </c>
      <c r="J296" s="27">
        <v>107815</v>
      </c>
    </row>
    <row r="297" spans="1:10" ht="25.5">
      <c r="A297" s="28" t="s">
        <v>230</v>
      </c>
      <c r="B297" s="29" t="s">
        <v>227</v>
      </c>
      <c r="C297" s="29" t="s">
        <v>229</v>
      </c>
      <c r="D297" s="29" t="s">
        <v>231</v>
      </c>
      <c r="E297" s="29"/>
      <c r="F297" s="30">
        <f>105084.14338+2787.6</f>
        <v>107871.74338</v>
      </c>
      <c r="G297" s="15">
        <f t="shared" si="5"/>
        <v>411.01442000000679</v>
      </c>
      <c r="H297" s="31">
        <v>108282.75780000001</v>
      </c>
      <c r="I297" s="31">
        <v>102313.4</v>
      </c>
      <c r="J297" s="32">
        <v>107815</v>
      </c>
    </row>
    <row r="298" spans="1:10">
      <c r="A298" s="33" t="s">
        <v>232</v>
      </c>
      <c r="B298" s="34" t="s">
        <v>227</v>
      </c>
      <c r="C298" s="34" t="s">
        <v>229</v>
      </c>
      <c r="D298" s="34" t="s">
        <v>233</v>
      </c>
      <c r="E298" s="34"/>
      <c r="F298" s="30">
        <f>105084.14338+2787.6</f>
        <v>107871.74338</v>
      </c>
      <c r="G298" s="15">
        <f t="shared" si="5"/>
        <v>411.01442000000679</v>
      </c>
      <c r="H298" s="31">
        <v>108282.75780000001</v>
      </c>
      <c r="I298" s="31">
        <v>102313.4</v>
      </c>
      <c r="J298" s="32">
        <v>107815</v>
      </c>
    </row>
    <row r="299" spans="1:10" ht="51">
      <c r="A299" s="79" t="s">
        <v>705</v>
      </c>
      <c r="B299" s="43" t="s">
        <v>227</v>
      </c>
      <c r="C299" s="43" t="s">
        <v>229</v>
      </c>
      <c r="D299" s="43" t="s">
        <v>693</v>
      </c>
      <c r="E299" s="43"/>
      <c r="F299" s="30">
        <v>0</v>
      </c>
      <c r="G299" s="15">
        <f t="shared" si="5"/>
        <v>65.099999999999994</v>
      </c>
      <c r="H299" s="31">
        <v>65.099999999999994</v>
      </c>
      <c r="I299" s="31">
        <v>0</v>
      </c>
      <c r="J299" s="32">
        <v>0</v>
      </c>
    </row>
    <row r="300" spans="1:10" ht="76.5">
      <c r="A300" s="80" t="s">
        <v>706</v>
      </c>
      <c r="B300" s="44" t="s">
        <v>227</v>
      </c>
      <c r="C300" s="44" t="s">
        <v>229</v>
      </c>
      <c r="D300" s="44" t="s">
        <v>693</v>
      </c>
      <c r="E300" s="44" t="s">
        <v>109</v>
      </c>
      <c r="F300" s="30">
        <v>0</v>
      </c>
      <c r="G300" s="15">
        <f t="shared" si="5"/>
        <v>65.099999999999994</v>
      </c>
      <c r="H300" s="31">
        <v>65.099999999999994</v>
      </c>
      <c r="I300" s="31">
        <v>0</v>
      </c>
      <c r="J300" s="32">
        <v>0</v>
      </c>
    </row>
    <row r="301" spans="1:10" ht="63.75">
      <c r="A301" s="35" t="s">
        <v>611</v>
      </c>
      <c r="B301" s="66" t="s">
        <v>608</v>
      </c>
      <c r="C301" s="66" t="s">
        <v>229</v>
      </c>
      <c r="D301" s="66" t="s">
        <v>610</v>
      </c>
      <c r="E301" s="40"/>
      <c r="F301" s="30">
        <v>276.55103000000003</v>
      </c>
      <c r="G301" s="15">
        <f t="shared" si="5"/>
        <v>0</v>
      </c>
      <c r="H301" s="31">
        <v>276.55103000000003</v>
      </c>
      <c r="I301" s="31">
        <v>0</v>
      </c>
      <c r="J301" s="32">
        <v>0</v>
      </c>
    </row>
    <row r="302" spans="1:10" ht="89.25">
      <c r="A302" s="35" t="s">
        <v>698</v>
      </c>
      <c r="B302" s="66" t="s">
        <v>608</v>
      </c>
      <c r="C302" s="66" t="s">
        <v>229</v>
      </c>
      <c r="D302" s="66" t="s">
        <v>610</v>
      </c>
      <c r="E302" s="66" t="s">
        <v>109</v>
      </c>
      <c r="F302" s="30">
        <v>276.55103000000003</v>
      </c>
      <c r="G302" s="15">
        <f t="shared" si="5"/>
        <v>0</v>
      </c>
      <c r="H302" s="31">
        <v>276.55103000000003</v>
      </c>
      <c r="I302" s="31">
        <v>0</v>
      </c>
      <c r="J302" s="32">
        <v>0</v>
      </c>
    </row>
    <row r="303" spans="1:10" ht="76.5">
      <c r="A303" s="35" t="s">
        <v>234</v>
      </c>
      <c r="B303" s="39" t="s">
        <v>227</v>
      </c>
      <c r="C303" s="39" t="s">
        <v>229</v>
      </c>
      <c r="D303" s="39" t="s">
        <v>235</v>
      </c>
      <c r="E303" s="39"/>
      <c r="F303" s="30">
        <v>56242.7</v>
      </c>
      <c r="G303" s="15">
        <f t="shared" si="5"/>
        <v>3971.3000000000029</v>
      </c>
      <c r="H303" s="31">
        <v>60214</v>
      </c>
      <c r="I303" s="31">
        <v>57544.4</v>
      </c>
      <c r="J303" s="32">
        <v>60789.8</v>
      </c>
    </row>
    <row r="304" spans="1:10" ht="127.5">
      <c r="A304" s="37" t="s">
        <v>467</v>
      </c>
      <c r="B304" s="40" t="s">
        <v>227</v>
      </c>
      <c r="C304" s="40" t="s">
        <v>229</v>
      </c>
      <c r="D304" s="40" t="s">
        <v>235</v>
      </c>
      <c r="E304" s="40" t="s">
        <v>28</v>
      </c>
      <c r="F304" s="30">
        <v>10064.6</v>
      </c>
      <c r="G304" s="15">
        <f t="shared" si="5"/>
        <v>-111.30018999999993</v>
      </c>
      <c r="H304" s="31">
        <v>9953.2998100000004</v>
      </c>
      <c r="I304" s="31">
        <v>10519.3</v>
      </c>
      <c r="J304" s="32">
        <v>11110.3</v>
      </c>
    </row>
    <row r="305" spans="1:10" ht="102">
      <c r="A305" s="37" t="s">
        <v>492</v>
      </c>
      <c r="B305" s="40" t="s">
        <v>227</v>
      </c>
      <c r="C305" s="40" t="s">
        <v>229</v>
      </c>
      <c r="D305" s="40" t="s">
        <v>235</v>
      </c>
      <c r="E305" s="40" t="s">
        <v>34</v>
      </c>
      <c r="F305" s="30">
        <v>199.2</v>
      </c>
      <c r="G305" s="15">
        <f t="shared" si="5"/>
        <v>30.300190000000015</v>
      </c>
      <c r="H305" s="31">
        <v>229.50019</v>
      </c>
      <c r="I305" s="31">
        <v>201.9</v>
      </c>
      <c r="J305" s="32">
        <v>220.7</v>
      </c>
    </row>
    <row r="306" spans="1:10" ht="102">
      <c r="A306" s="37" t="s">
        <v>548</v>
      </c>
      <c r="B306" s="40" t="s">
        <v>227</v>
      </c>
      <c r="C306" s="40" t="s">
        <v>229</v>
      </c>
      <c r="D306" s="40" t="s">
        <v>235</v>
      </c>
      <c r="E306" s="40" t="s">
        <v>109</v>
      </c>
      <c r="F306" s="30">
        <v>45978.9</v>
      </c>
      <c r="G306" s="15">
        <f t="shared" si="5"/>
        <v>4052.2999999999956</v>
      </c>
      <c r="H306" s="31">
        <v>50031.199999999997</v>
      </c>
      <c r="I306" s="31">
        <v>46823.199999999997</v>
      </c>
      <c r="J306" s="32">
        <v>49458.8</v>
      </c>
    </row>
    <row r="307" spans="1:10" ht="76.5">
      <c r="A307" s="68" t="s">
        <v>612</v>
      </c>
      <c r="B307" s="66" t="s">
        <v>608</v>
      </c>
      <c r="C307" s="66" t="s">
        <v>229</v>
      </c>
      <c r="D307" s="66" t="s">
        <v>609</v>
      </c>
      <c r="E307" s="40"/>
      <c r="F307" s="30">
        <v>252.99234999999999</v>
      </c>
      <c r="G307" s="15">
        <f t="shared" si="5"/>
        <v>-165</v>
      </c>
      <c r="H307" s="31">
        <v>87.992350000000002</v>
      </c>
      <c r="I307" s="31">
        <v>0</v>
      </c>
      <c r="J307" s="32">
        <v>0</v>
      </c>
    </row>
    <row r="308" spans="1:10" ht="114.75">
      <c r="A308" s="68" t="s">
        <v>686</v>
      </c>
      <c r="B308" s="66" t="s">
        <v>608</v>
      </c>
      <c r="C308" s="66" t="s">
        <v>229</v>
      </c>
      <c r="D308" s="66" t="s">
        <v>609</v>
      </c>
      <c r="E308" s="66" t="s">
        <v>34</v>
      </c>
      <c r="F308" s="30">
        <v>55</v>
      </c>
      <c r="G308" s="15">
        <f t="shared" si="5"/>
        <v>-55</v>
      </c>
      <c r="H308" s="31">
        <v>0</v>
      </c>
      <c r="I308" s="31">
        <v>0</v>
      </c>
      <c r="J308" s="32">
        <v>0</v>
      </c>
    </row>
    <row r="309" spans="1:10" ht="102">
      <c r="A309" s="68" t="s">
        <v>614</v>
      </c>
      <c r="B309" s="66" t="s">
        <v>608</v>
      </c>
      <c r="C309" s="66" t="s">
        <v>229</v>
      </c>
      <c r="D309" s="66" t="s">
        <v>609</v>
      </c>
      <c r="E309" s="66" t="s">
        <v>109</v>
      </c>
      <c r="F309" s="30">
        <v>197.99234999999999</v>
      </c>
      <c r="G309" s="15">
        <f t="shared" si="5"/>
        <v>-109.99999999999999</v>
      </c>
      <c r="H309" s="31">
        <v>87.992350000000002</v>
      </c>
      <c r="I309" s="31">
        <v>0</v>
      </c>
      <c r="J309" s="32">
        <v>0</v>
      </c>
    </row>
    <row r="310" spans="1:10" ht="63.75">
      <c r="A310" s="35" t="s">
        <v>236</v>
      </c>
      <c r="B310" s="39" t="s">
        <v>227</v>
      </c>
      <c r="C310" s="39" t="s">
        <v>229</v>
      </c>
      <c r="D310" s="39" t="s">
        <v>237</v>
      </c>
      <c r="E310" s="39"/>
      <c r="F310" s="30">
        <f>47243.82893+2257.6</f>
        <v>49501.428930000002</v>
      </c>
      <c r="G310" s="15">
        <f t="shared" si="5"/>
        <v>-2930.3855800000019</v>
      </c>
      <c r="H310" s="31">
        <v>46571.04335</v>
      </c>
      <c r="I310" s="31">
        <v>44769</v>
      </c>
      <c r="J310" s="32">
        <v>47025.2</v>
      </c>
    </row>
    <row r="311" spans="1:10" ht="114.75">
      <c r="A311" s="37" t="s">
        <v>468</v>
      </c>
      <c r="B311" s="40" t="s">
        <v>227</v>
      </c>
      <c r="C311" s="40" t="s">
        <v>229</v>
      </c>
      <c r="D311" s="40" t="s">
        <v>237</v>
      </c>
      <c r="E311" s="40" t="s">
        <v>28</v>
      </c>
      <c r="F311" s="30">
        <f>6509.7+358</f>
        <v>6867.7</v>
      </c>
      <c r="G311" s="15">
        <f t="shared" si="5"/>
        <v>91.020000000000437</v>
      </c>
      <c r="H311" s="31">
        <v>6958.72</v>
      </c>
      <c r="I311" s="31">
        <v>6515.2</v>
      </c>
      <c r="J311" s="32">
        <v>6775.7</v>
      </c>
    </row>
    <row r="312" spans="1:10" ht="76.5">
      <c r="A312" s="37" t="s">
        <v>493</v>
      </c>
      <c r="B312" s="40" t="s">
        <v>227</v>
      </c>
      <c r="C312" s="40" t="s">
        <v>229</v>
      </c>
      <c r="D312" s="40" t="s">
        <v>237</v>
      </c>
      <c r="E312" s="40" t="s">
        <v>34</v>
      </c>
      <c r="F312" s="30">
        <f>5295.53604+119.6</f>
        <v>5415.1360400000003</v>
      </c>
      <c r="G312" s="15">
        <f t="shared" si="5"/>
        <v>-1225.9258399999999</v>
      </c>
      <c r="H312" s="31">
        <v>4189.2102000000004</v>
      </c>
      <c r="I312" s="31">
        <v>4743.8</v>
      </c>
      <c r="J312" s="32">
        <v>4981.3</v>
      </c>
    </row>
    <row r="313" spans="1:10" ht="76.5">
      <c r="A313" s="37" t="s">
        <v>534</v>
      </c>
      <c r="B313" s="40" t="s">
        <v>227</v>
      </c>
      <c r="C313" s="40" t="s">
        <v>229</v>
      </c>
      <c r="D313" s="40" t="s">
        <v>237</v>
      </c>
      <c r="E313" s="40" t="s">
        <v>48</v>
      </c>
      <c r="F313" s="30">
        <v>45</v>
      </c>
      <c r="G313" s="15">
        <f t="shared" si="5"/>
        <v>0</v>
      </c>
      <c r="H313" s="31">
        <v>45</v>
      </c>
      <c r="I313" s="31">
        <v>0</v>
      </c>
      <c r="J313" s="32">
        <v>0</v>
      </c>
    </row>
    <row r="314" spans="1:10" ht="89.25">
      <c r="A314" s="37" t="s">
        <v>549</v>
      </c>
      <c r="B314" s="40" t="s">
        <v>227</v>
      </c>
      <c r="C314" s="40" t="s">
        <v>229</v>
      </c>
      <c r="D314" s="40" t="s">
        <v>237</v>
      </c>
      <c r="E314" s="40" t="s">
        <v>109</v>
      </c>
      <c r="F314" s="30">
        <f>35329.79289+1780</f>
        <v>37109.792889999997</v>
      </c>
      <c r="G314" s="15">
        <f t="shared" si="5"/>
        <v>-1795.7577399999936</v>
      </c>
      <c r="H314" s="31">
        <v>35314.035150000003</v>
      </c>
      <c r="I314" s="31">
        <v>33446.199999999997</v>
      </c>
      <c r="J314" s="32">
        <v>35204.400000000001</v>
      </c>
    </row>
    <row r="315" spans="1:10" ht="76.5">
      <c r="A315" s="37" t="s">
        <v>576</v>
      </c>
      <c r="B315" s="40" t="s">
        <v>227</v>
      </c>
      <c r="C315" s="40" t="s">
        <v>229</v>
      </c>
      <c r="D315" s="40" t="s">
        <v>237</v>
      </c>
      <c r="E315" s="40" t="s">
        <v>51</v>
      </c>
      <c r="F315" s="30">
        <v>63.8</v>
      </c>
      <c r="G315" s="15">
        <f t="shared" si="5"/>
        <v>0.2780000000000058</v>
      </c>
      <c r="H315" s="31">
        <v>64.078000000000003</v>
      </c>
      <c r="I315" s="31">
        <v>63.8</v>
      </c>
      <c r="J315" s="32">
        <v>63.8</v>
      </c>
    </row>
    <row r="316" spans="1:10" ht="25.5">
      <c r="A316" s="35" t="s">
        <v>418</v>
      </c>
      <c r="B316" s="39" t="s">
        <v>227</v>
      </c>
      <c r="C316" s="39" t="s">
        <v>229</v>
      </c>
      <c r="D316" s="39" t="s">
        <v>419</v>
      </c>
      <c r="E316" s="39"/>
      <c r="F316" s="30">
        <f>1068.07107+530</f>
        <v>1598.07107</v>
      </c>
      <c r="G316" s="15">
        <f t="shared" si="5"/>
        <v>-530</v>
      </c>
      <c r="H316" s="31">
        <v>1068.07107</v>
      </c>
      <c r="I316" s="31">
        <v>0</v>
      </c>
      <c r="J316" s="32">
        <v>0</v>
      </c>
    </row>
    <row r="317" spans="1:10" ht="38.25">
      <c r="A317" s="37" t="s">
        <v>494</v>
      </c>
      <c r="B317" s="40" t="s">
        <v>227</v>
      </c>
      <c r="C317" s="40" t="s">
        <v>229</v>
      </c>
      <c r="D317" s="40" t="s">
        <v>419</v>
      </c>
      <c r="E317" s="40" t="s">
        <v>34</v>
      </c>
      <c r="F317" s="30">
        <f>564.26396+280</f>
        <v>844.26396</v>
      </c>
      <c r="G317" s="15">
        <f t="shared" si="5"/>
        <v>-280</v>
      </c>
      <c r="H317" s="31">
        <v>564.26396</v>
      </c>
      <c r="I317" s="31">
        <v>0</v>
      </c>
      <c r="J317" s="32">
        <v>0</v>
      </c>
    </row>
    <row r="318" spans="1:10" ht="51">
      <c r="A318" s="37" t="s">
        <v>550</v>
      </c>
      <c r="B318" s="40" t="s">
        <v>227</v>
      </c>
      <c r="C318" s="40" t="s">
        <v>229</v>
      </c>
      <c r="D318" s="40" t="s">
        <v>419</v>
      </c>
      <c r="E318" s="40" t="s">
        <v>109</v>
      </c>
      <c r="F318" s="30">
        <f>503.80711+250</f>
        <v>753.80710999999997</v>
      </c>
      <c r="G318" s="15">
        <f t="shared" si="5"/>
        <v>-249.99999999999994</v>
      </c>
      <c r="H318" s="31">
        <v>503.80711000000002</v>
      </c>
      <c r="I318" s="31">
        <v>0</v>
      </c>
      <c r="J318" s="32">
        <v>0</v>
      </c>
    </row>
    <row r="319" spans="1:10">
      <c r="A319" s="18" t="s">
        <v>240</v>
      </c>
      <c r="B319" s="19" t="s">
        <v>227</v>
      </c>
      <c r="C319" s="19" t="s">
        <v>241</v>
      </c>
      <c r="D319" s="19"/>
      <c r="E319" s="19"/>
      <c r="F319" s="20">
        <f>373591.59154+4062.8</f>
        <v>377654.39153999998</v>
      </c>
      <c r="G319" s="15">
        <f t="shared" si="5"/>
        <v>18337.049900000042</v>
      </c>
      <c r="H319" s="21">
        <v>395991.44144000002</v>
      </c>
      <c r="I319" s="21">
        <v>405103.72418999998</v>
      </c>
      <c r="J319" s="22">
        <v>369319.2856</v>
      </c>
    </row>
    <row r="320" spans="1:10" ht="38.25">
      <c r="A320" s="23" t="s">
        <v>82</v>
      </c>
      <c r="B320" s="24" t="s">
        <v>227</v>
      </c>
      <c r="C320" s="24" t="s">
        <v>241</v>
      </c>
      <c r="D320" s="24" t="s">
        <v>83</v>
      </c>
      <c r="E320" s="24"/>
      <c r="F320" s="25">
        <f>373591.59154+4062.8</f>
        <v>377654.39153999998</v>
      </c>
      <c r="G320" s="15">
        <f t="shared" si="5"/>
        <v>18337.049900000042</v>
      </c>
      <c r="H320" s="26">
        <v>395991.44144000002</v>
      </c>
      <c r="I320" s="26">
        <v>405103.72418999998</v>
      </c>
      <c r="J320" s="27">
        <v>369319.2856</v>
      </c>
    </row>
    <row r="321" spans="1:10" ht="25.5">
      <c r="A321" s="28" t="s">
        <v>230</v>
      </c>
      <c r="B321" s="29" t="s">
        <v>227</v>
      </c>
      <c r="C321" s="29" t="s">
        <v>241</v>
      </c>
      <c r="D321" s="29" t="s">
        <v>231</v>
      </c>
      <c r="E321" s="29"/>
      <c r="F321" s="30">
        <f>373591.59154+4062.8</f>
        <v>377654.39153999998</v>
      </c>
      <c r="G321" s="15">
        <f t="shared" si="5"/>
        <v>18337.049900000042</v>
      </c>
      <c r="H321" s="31">
        <v>395991.44144000002</v>
      </c>
      <c r="I321" s="31">
        <v>405103.72418999998</v>
      </c>
      <c r="J321" s="32">
        <v>369319.2856</v>
      </c>
    </row>
    <row r="322" spans="1:10">
      <c r="A322" s="33" t="s">
        <v>232</v>
      </c>
      <c r="B322" s="34" t="s">
        <v>227</v>
      </c>
      <c r="C322" s="34" t="s">
        <v>241</v>
      </c>
      <c r="D322" s="34" t="s">
        <v>233</v>
      </c>
      <c r="E322" s="34"/>
      <c r="F322" s="30">
        <f>9907.94411+167.9</f>
        <v>10075.84411</v>
      </c>
      <c r="G322" s="15">
        <f t="shared" si="5"/>
        <v>-354.0889700000007</v>
      </c>
      <c r="H322" s="31">
        <v>9721.7551399999993</v>
      </c>
      <c r="I322" s="31">
        <v>9852.2000000000007</v>
      </c>
      <c r="J322" s="32">
        <v>10319.200000000001</v>
      </c>
    </row>
    <row r="323" spans="1:10" ht="76.5">
      <c r="A323" s="35" t="s">
        <v>234</v>
      </c>
      <c r="B323" s="39" t="s">
        <v>227</v>
      </c>
      <c r="C323" s="39" t="s">
        <v>241</v>
      </c>
      <c r="D323" s="39" t="s">
        <v>235</v>
      </c>
      <c r="E323" s="39"/>
      <c r="F323" s="30">
        <v>6957.9</v>
      </c>
      <c r="G323" s="15">
        <f t="shared" si="5"/>
        <v>-50</v>
      </c>
      <c r="H323" s="31">
        <v>6907.9</v>
      </c>
      <c r="I323" s="31">
        <v>6936.2</v>
      </c>
      <c r="J323" s="32">
        <v>7333.7</v>
      </c>
    </row>
    <row r="324" spans="1:10" ht="127.5">
      <c r="A324" s="37" t="s">
        <v>467</v>
      </c>
      <c r="B324" s="40" t="s">
        <v>227</v>
      </c>
      <c r="C324" s="40" t="s">
        <v>241</v>
      </c>
      <c r="D324" s="40" t="s">
        <v>235</v>
      </c>
      <c r="E324" s="40" t="s">
        <v>28</v>
      </c>
      <c r="F324" s="30">
        <v>5547.7</v>
      </c>
      <c r="G324" s="15">
        <f t="shared" si="5"/>
        <v>-72.229999999999563</v>
      </c>
      <c r="H324" s="31">
        <v>5475.47</v>
      </c>
      <c r="I324" s="31">
        <v>5625.5</v>
      </c>
      <c r="J324" s="32">
        <v>5942.5</v>
      </c>
    </row>
    <row r="325" spans="1:10" ht="102">
      <c r="A325" s="37" t="s">
        <v>492</v>
      </c>
      <c r="B325" s="40" t="s">
        <v>227</v>
      </c>
      <c r="C325" s="40" t="s">
        <v>241</v>
      </c>
      <c r="D325" s="40" t="s">
        <v>235</v>
      </c>
      <c r="E325" s="40" t="s">
        <v>34</v>
      </c>
      <c r="F325" s="30">
        <v>116</v>
      </c>
      <c r="G325" s="15">
        <f t="shared" si="5"/>
        <v>-57.77</v>
      </c>
      <c r="H325" s="31">
        <v>58.23</v>
      </c>
      <c r="I325" s="31">
        <v>116</v>
      </c>
      <c r="J325" s="32">
        <v>128.30000000000001</v>
      </c>
    </row>
    <row r="326" spans="1:10" ht="102">
      <c r="A326" s="37" t="s">
        <v>548</v>
      </c>
      <c r="B326" s="40" t="s">
        <v>227</v>
      </c>
      <c r="C326" s="40" t="s">
        <v>241</v>
      </c>
      <c r="D326" s="40" t="s">
        <v>235</v>
      </c>
      <c r="E326" s="40" t="s">
        <v>109</v>
      </c>
      <c r="F326" s="30">
        <v>1294.2</v>
      </c>
      <c r="G326" s="15">
        <f t="shared" si="5"/>
        <v>80</v>
      </c>
      <c r="H326" s="31">
        <v>1374.2</v>
      </c>
      <c r="I326" s="31">
        <v>1194.7</v>
      </c>
      <c r="J326" s="32">
        <v>1262.9000000000001</v>
      </c>
    </row>
    <row r="327" spans="1:10" ht="63.75">
      <c r="A327" s="35" t="s">
        <v>236</v>
      </c>
      <c r="B327" s="39" t="s">
        <v>227</v>
      </c>
      <c r="C327" s="39" t="s">
        <v>241</v>
      </c>
      <c r="D327" s="39" t="s">
        <v>237</v>
      </c>
      <c r="E327" s="39"/>
      <c r="F327" s="30">
        <f>2950.04411+167.9</f>
        <v>3117.9441099999999</v>
      </c>
      <c r="G327" s="15">
        <f t="shared" si="5"/>
        <v>-304.08896999999979</v>
      </c>
      <c r="H327" s="31">
        <v>2813.8551400000001</v>
      </c>
      <c r="I327" s="31">
        <v>2916</v>
      </c>
      <c r="J327" s="32">
        <v>2985.5</v>
      </c>
    </row>
    <row r="328" spans="1:10" ht="114.75">
      <c r="A328" s="37" t="s">
        <v>468</v>
      </c>
      <c r="B328" s="40" t="s">
        <v>227</v>
      </c>
      <c r="C328" s="40" t="s">
        <v>241</v>
      </c>
      <c r="D328" s="40" t="s">
        <v>237</v>
      </c>
      <c r="E328" s="40" t="s">
        <v>28</v>
      </c>
      <c r="F328" s="30">
        <f>1261.0526+69.4</f>
        <v>1330.4526000000001</v>
      </c>
      <c r="G328" s="15">
        <f t="shared" si="5"/>
        <v>30.505999999999858</v>
      </c>
      <c r="H328" s="31">
        <v>1360.9585999999999</v>
      </c>
      <c r="I328" s="31">
        <v>1261.0999999999999</v>
      </c>
      <c r="J328" s="32">
        <v>1311.6</v>
      </c>
    </row>
    <row r="329" spans="1:10" ht="76.5">
      <c r="A329" s="37" t="s">
        <v>493</v>
      </c>
      <c r="B329" s="40" t="s">
        <v>227</v>
      </c>
      <c r="C329" s="40" t="s">
        <v>241</v>
      </c>
      <c r="D329" s="40" t="s">
        <v>237</v>
      </c>
      <c r="E329" s="40" t="s">
        <v>34</v>
      </c>
      <c r="F329" s="41">
        <f>1344.93491+64.4</f>
        <v>1409.33491</v>
      </c>
      <c r="G329" s="15">
        <f t="shared" si="5"/>
        <v>-353.34085000000005</v>
      </c>
      <c r="H329" s="31">
        <v>1055.99406</v>
      </c>
      <c r="I329" s="31">
        <v>1309.7</v>
      </c>
      <c r="J329" s="32">
        <v>1315</v>
      </c>
    </row>
    <row r="330" spans="1:10" ht="89.25">
      <c r="A330" s="37" t="s">
        <v>549</v>
      </c>
      <c r="B330" s="40" t="s">
        <v>227</v>
      </c>
      <c r="C330" s="40" t="s">
        <v>241</v>
      </c>
      <c r="D330" s="40" t="s">
        <v>237</v>
      </c>
      <c r="E330" s="40" t="s">
        <v>109</v>
      </c>
      <c r="F330" s="41">
        <f>344.0566+34.4</f>
        <v>378.45659999999998</v>
      </c>
      <c r="G330" s="15">
        <f t="shared" si="5"/>
        <v>18.445880000000045</v>
      </c>
      <c r="H330" s="31">
        <v>396.90248000000003</v>
      </c>
      <c r="I330" s="31">
        <v>345.2</v>
      </c>
      <c r="J330" s="32">
        <v>358.9</v>
      </c>
    </row>
    <row r="331" spans="1:10">
      <c r="A331" s="33" t="s">
        <v>238</v>
      </c>
      <c r="B331" s="34" t="s">
        <v>227</v>
      </c>
      <c r="C331" s="34" t="s">
        <v>241</v>
      </c>
      <c r="D331" s="34" t="s">
        <v>239</v>
      </c>
      <c r="E331" s="34"/>
      <c r="F331" s="30">
        <f>363683.64743+3434.9</f>
        <v>367118.54743000004</v>
      </c>
      <c r="G331" s="15">
        <f t="shared" si="5"/>
        <v>19151.138869999966</v>
      </c>
      <c r="H331" s="31">
        <v>386269.6863</v>
      </c>
      <c r="I331" s="31">
        <v>395251.52419000003</v>
      </c>
      <c r="J331" s="32">
        <v>359000.08559999999</v>
      </c>
    </row>
    <row r="332" spans="1:10" ht="89.25">
      <c r="A332" s="35" t="s">
        <v>242</v>
      </c>
      <c r="B332" s="39" t="s">
        <v>227</v>
      </c>
      <c r="C332" s="39" t="s">
        <v>241</v>
      </c>
      <c r="D332" s="39" t="s">
        <v>243</v>
      </c>
      <c r="E332" s="39"/>
      <c r="F332" s="30">
        <v>15365.5</v>
      </c>
      <c r="G332" s="15">
        <f t="shared" si="5"/>
        <v>6219.2999999999993</v>
      </c>
      <c r="H332" s="31">
        <v>21584.799999999999</v>
      </c>
      <c r="I332" s="31">
        <v>12186.8</v>
      </c>
      <c r="J332" s="32">
        <v>12186.8</v>
      </c>
    </row>
    <row r="333" spans="1:10" ht="140.25">
      <c r="A333" s="37" t="s">
        <v>469</v>
      </c>
      <c r="B333" s="40" t="s">
        <v>227</v>
      </c>
      <c r="C333" s="40" t="s">
        <v>241</v>
      </c>
      <c r="D333" s="40" t="s">
        <v>243</v>
      </c>
      <c r="E333" s="40" t="s">
        <v>28</v>
      </c>
      <c r="F333" s="30">
        <v>5195.933</v>
      </c>
      <c r="G333" s="15">
        <f t="shared" si="5"/>
        <v>2406.0661399999999</v>
      </c>
      <c r="H333" s="31">
        <v>7601.9991399999999</v>
      </c>
      <c r="I333" s="31">
        <v>4296.66</v>
      </c>
      <c r="J333" s="32">
        <v>4296.66</v>
      </c>
    </row>
    <row r="334" spans="1:10" ht="114.75">
      <c r="A334" s="37" t="s">
        <v>551</v>
      </c>
      <c r="B334" s="40" t="s">
        <v>227</v>
      </c>
      <c r="C334" s="40" t="s">
        <v>241</v>
      </c>
      <c r="D334" s="40" t="s">
        <v>243</v>
      </c>
      <c r="E334" s="40" t="s">
        <v>109</v>
      </c>
      <c r="F334" s="30">
        <v>10169.566999999999</v>
      </c>
      <c r="G334" s="15">
        <f t="shared" si="5"/>
        <v>3813.2338600000003</v>
      </c>
      <c r="H334" s="31">
        <v>13982.800859999999</v>
      </c>
      <c r="I334" s="31">
        <v>7890.14</v>
      </c>
      <c r="J334" s="32">
        <v>7890.14</v>
      </c>
    </row>
    <row r="335" spans="1:10" ht="51">
      <c r="A335" s="35" t="s">
        <v>618</v>
      </c>
      <c r="B335" s="67" t="s">
        <v>227</v>
      </c>
      <c r="C335" s="67" t="s">
        <v>241</v>
      </c>
      <c r="D335" s="67" t="s">
        <v>615</v>
      </c>
      <c r="E335" s="67"/>
      <c r="F335" s="30">
        <v>700</v>
      </c>
      <c r="G335" s="15">
        <f t="shared" si="5"/>
        <v>446.93005999999991</v>
      </c>
      <c r="H335" s="31">
        <v>1146.9300599999999</v>
      </c>
      <c r="I335" s="31">
        <v>0</v>
      </c>
      <c r="J335" s="32">
        <v>0</v>
      </c>
    </row>
    <row r="336" spans="1:10" ht="76.5">
      <c r="A336" s="35" t="s">
        <v>619</v>
      </c>
      <c r="B336" s="67" t="s">
        <v>227</v>
      </c>
      <c r="C336" s="67" t="s">
        <v>241</v>
      </c>
      <c r="D336" s="67" t="s">
        <v>615</v>
      </c>
      <c r="E336" s="67" t="s">
        <v>34</v>
      </c>
      <c r="F336" s="30">
        <v>300</v>
      </c>
      <c r="G336" s="15">
        <f t="shared" si="5"/>
        <v>0</v>
      </c>
      <c r="H336" s="31">
        <v>300</v>
      </c>
      <c r="I336" s="31">
        <v>0</v>
      </c>
      <c r="J336" s="32">
        <v>0</v>
      </c>
    </row>
    <row r="337" spans="1:10" ht="76.5">
      <c r="A337" s="35" t="s">
        <v>620</v>
      </c>
      <c r="B337" s="67" t="s">
        <v>227</v>
      </c>
      <c r="C337" s="67" t="s">
        <v>241</v>
      </c>
      <c r="D337" s="67" t="s">
        <v>615</v>
      </c>
      <c r="E337" s="67" t="s">
        <v>109</v>
      </c>
      <c r="F337" s="30">
        <v>400</v>
      </c>
      <c r="G337" s="15">
        <f t="shared" si="5"/>
        <v>446.93006000000003</v>
      </c>
      <c r="H337" s="31">
        <v>846.93006000000003</v>
      </c>
      <c r="I337" s="31">
        <v>0</v>
      </c>
      <c r="J337" s="32">
        <v>0</v>
      </c>
    </row>
    <row r="338" spans="1:10" ht="102">
      <c r="A338" s="35" t="s">
        <v>244</v>
      </c>
      <c r="B338" s="39" t="s">
        <v>227</v>
      </c>
      <c r="C338" s="39" t="s">
        <v>241</v>
      </c>
      <c r="D338" s="39" t="s">
        <v>245</v>
      </c>
      <c r="E338" s="39"/>
      <c r="F338" s="30">
        <v>258374.9</v>
      </c>
      <c r="G338" s="15">
        <f t="shared" si="5"/>
        <v>8094.6000000000058</v>
      </c>
      <c r="H338" s="31">
        <v>266469.5</v>
      </c>
      <c r="I338" s="31">
        <v>254037.1</v>
      </c>
      <c r="J338" s="32">
        <v>272140.3</v>
      </c>
    </row>
    <row r="339" spans="1:10" ht="153">
      <c r="A339" s="37" t="s">
        <v>470</v>
      </c>
      <c r="B339" s="40" t="s">
        <v>227</v>
      </c>
      <c r="C339" s="40" t="s">
        <v>241</v>
      </c>
      <c r="D339" s="40" t="s">
        <v>245</v>
      </c>
      <c r="E339" s="40" t="s">
        <v>28</v>
      </c>
      <c r="F339" s="30">
        <v>78201.665479999996</v>
      </c>
      <c r="G339" s="15">
        <f t="shared" si="5"/>
        <v>1332.6913900000072</v>
      </c>
      <c r="H339" s="31">
        <v>79534.356870000003</v>
      </c>
      <c r="I339" s="31">
        <v>75627.600000000006</v>
      </c>
      <c r="J339" s="32">
        <v>80540.800000000003</v>
      </c>
    </row>
    <row r="340" spans="1:10" ht="114.75">
      <c r="A340" s="37" t="s">
        <v>495</v>
      </c>
      <c r="B340" s="40" t="s">
        <v>227</v>
      </c>
      <c r="C340" s="40" t="s">
        <v>241</v>
      </c>
      <c r="D340" s="40" t="s">
        <v>245</v>
      </c>
      <c r="E340" s="40" t="s">
        <v>34</v>
      </c>
      <c r="F340" s="30">
        <v>2423.1345200000001</v>
      </c>
      <c r="G340" s="15">
        <f t="shared" si="5"/>
        <v>22.603610000000117</v>
      </c>
      <c r="H340" s="31">
        <v>2445.7381300000002</v>
      </c>
      <c r="I340" s="31">
        <v>2322.8000000000002</v>
      </c>
      <c r="J340" s="32">
        <v>2534.8000000000002</v>
      </c>
    </row>
    <row r="341" spans="1:10" ht="127.5">
      <c r="A341" s="37" t="s">
        <v>716</v>
      </c>
      <c r="B341" s="40" t="s">
        <v>227</v>
      </c>
      <c r="C341" s="40" t="s">
        <v>241</v>
      </c>
      <c r="D341" s="40" t="s">
        <v>245</v>
      </c>
      <c r="E341" s="40" t="s">
        <v>109</v>
      </c>
      <c r="F341" s="30">
        <v>177750.1</v>
      </c>
      <c r="G341" s="15">
        <f t="shared" si="5"/>
        <v>6739.304999999993</v>
      </c>
      <c r="H341" s="31">
        <v>184489.405</v>
      </c>
      <c r="I341" s="31">
        <v>176086.7</v>
      </c>
      <c r="J341" s="32">
        <v>189064.7</v>
      </c>
    </row>
    <row r="342" spans="1:10" ht="76.5">
      <c r="A342" s="68" t="s">
        <v>612</v>
      </c>
      <c r="B342" s="69" t="s">
        <v>227</v>
      </c>
      <c r="C342" s="69" t="s">
        <v>241</v>
      </c>
      <c r="D342" s="69" t="s">
        <v>616</v>
      </c>
      <c r="E342" s="69"/>
      <c r="F342" s="30">
        <v>4997.0076499999996</v>
      </c>
      <c r="G342" s="15">
        <f t="shared" si="5"/>
        <v>165</v>
      </c>
      <c r="H342" s="31">
        <v>5162.0076499999996</v>
      </c>
      <c r="I342" s="31">
        <v>0</v>
      </c>
      <c r="J342" s="32">
        <v>0</v>
      </c>
    </row>
    <row r="343" spans="1:10" ht="89.25">
      <c r="A343" s="68" t="s">
        <v>613</v>
      </c>
      <c r="B343" s="69" t="s">
        <v>227</v>
      </c>
      <c r="C343" s="69" t="s">
        <v>241</v>
      </c>
      <c r="D343" s="69" t="s">
        <v>616</v>
      </c>
      <c r="E343" s="69" t="s">
        <v>34</v>
      </c>
      <c r="F343" s="30">
        <v>330</v>
      </c>
      <c r="G343" s="15">
        <f t="shared" si="5"/>
        <v>409.25451999999996</v>
      </c>
      <c r="H343" s="31">
        <v>739.25451999999996</v>
      </c>
      <c r="I343" s="31">
        <v>0</v>
      </c>
      <c r="J343" s="32">
        <v>0</v>
      </c>
    </row>
    <row r="344" spans="1:10" ht="102">
      <c r="A344" s="68" t="s">
        <v>617</v>
      </c>
      <c r="B344" s="69" t="s">
        <v>227</v>
      </c>
      <c r="C344" s="69" t="s">
        <v>241</v>
      </c>
      <c r="D344" s="69" t="s">
        <v>616</v>
      </c>
      <c r="E344" s="69" t="s">
        <v>109</v>
      </c>
      <c r="F344" s="30">
        <v>4667.0076499999996</v>
      </c>
      <c r="G344" s="15">
        <f t="shared" si="5"/>
        <v>-244.2545199999995</v>
      </c>
      <c r="H344" s="31">
        <v>4422.7531300000001</v>
      </c>
      <c r="I344" s="31">
        <v>0</v>
      </c>
      <c r="J344" s="32">
        <v>0</v>
      </c>
    </row>
    <row r="345" spans="1:10" ht="63.75">
      <c r="A345" s="35" t="s">
        <v>246</v>
      </c>
      <c r="B345" s="39" t="s">
        <v>227</v>
      </c>
      <c r="C345" s="39" t="s">
        <v>241</v>
      </c>
      <c r="D345" s="39" t="s">
        <v>247</v>
      </c>
      <c r="E345" s="39"/>
      <c r="F345" s="30">
        <f>56959.48423+3434.9</f>
        <v>60394.384230000003</v>
      </c>
      <c r="G345" s="15">
        <f t="shared" si="5"/>
        <v>1047.2283899999966</v>
      </c>
      <c r="H345" s="31">
        <v>61441.61262</v>
      </c>
      <c r="I345" s="31">
        <v>51464.718589999997</v>
      </c>
      <c r="J345" s="32">
        <v>55609.5</v>
      </c>
    </row>
    <row r="346" spans="1:10" ht="76.5">
      <c r="A346" s="37" t="s">
        <v>496</v>
      </c>
      <c r="B346" s="40" t="s">
        <v>227</v>
      </c>
      <c r="C346" s="40" t="s">
        <v>241</v>
      </c>
      <c r="D346" s="40" t="s">
        <v>247</v>
      </c>
      <c r="E346" s="40" t="s">
        <v>34</v>
      </c>
      <c r="F346" s="30">
        <f>16249.01377+1805.4</f>
        <v>18054.413769999999</v>
      </c>
      <c r="G346" s="15">
        <f t="shared" si="5"/>
        <v>1743.1177700000007</v>
      </c>
      <c r="H346" s="31">
        <v>19797.53154</v>
      </c>
      <c r="I346" s="31">
        <v>14776.26</v>
      </c>
      <c r="J346" s="32">
        <v>15913.9</v>
      </c>
    </row>
    <row r="347" spans="1:10" ht="76.5">
      <c r="A347" s="37" t="s">
        <v>514</v>
      </c>
      <c r="B347" s="40" t="s">
        <v>227</v>
      </c>
      <c r="C347" s="40" t="s">
        <v>241</v>
      </c>
      <c r="D347" s="40" t="s">
        <v>247</v>
      </c>
      <c r="E347" s="40" t="s">
        <v>50</v>
      </c>
      <c r="F347" s="30">
        <v>120.9</v>
      </c>
      <c r="G347" s="15">
        <f t="shared" si="5"/>
        <v>-41.23078000000001</v>
      </c>
      <c r="H347" s="31">
        <v>79.669219999999996</v>
      </c>
      <c r="I347" s="31">
        <v>17.2</v>
      </c>
      <c r="J347" s="32">
        <v>17.3</v>
      </c>
    </row>
    <row r="348" spans="1:10" ht="89.25">
      <c r="A348" s="37" t="s">
        <v>552</v>
      </c>
      <c r="B348" s="40" t="s">
        <v>227</v>
      </c>
      <c r="C348" s="40" t="s">
        <v>241</v>
      </c>
      <c r="D348" s="40" t="s">
        <v>247</v>
      </c>
      <c r="E348" s="40" t="s">
        <v>109</v>
      </c>
      <c r="F348" s="41">
        <f>39664.46627+1629.5</f>
        <v>41293.966269999997</v>
      </c>
      <c r="G348" s="15">
        <f t="shared" si="5"/>
        <v>-366.61544999999751</v>
      </c>
      <c r="H348" s="31">
        <v>40927.35082</v>
      </c>
      <c r="I348" s="31">
        <v>35741.258589999998</v>
      </c>
      <c r="J348" s="32">
        <v>38753.9</v>
      </c>
    </row>
    <row r="349" spans="1:10" ht="76.5">
      <c r="A349" s="37" t="s">
        <v>577</v>
      </c>
      <c r="B349" s="40" t="s">
        <v>227</v>
      </c>
      <c r="C349" s="40" t="s">
        <v>241</v>
      </c>
      <c r="D349" s="40" t="s">
        <v>247</v>
      </c>
      <c r="E349" s="40" t="s">
        <v>51</v>
      </c>
      <c r="F349" s="30">
        <v>925.10419000000002</v>
      </c>
      <c r="G349" s="15">
        <f t="shared" si="5"/>
        <v>-288.04314999999997</v>
      </c>
      <c r="H349" s="31">
        <v>637.06104000000005</v>
      </c>
      <c r="I349" s="31">
        <v>930</v>
      </c>
      <c r="J349" s="32">
        <v>924.4</v>
      </c>
    </row>
    <row r="350" spans="1:10" ht="51">
      <c r="A350" s="35" t="s">
        <v>420</v>
      </c>
      <c r="B350" s="39" t="s">
        <v>227</v>
      </c>
      <c r="C350" s="39" t="s">
        <v>241</v>
      </c>
      <c r="D350" s="39" t="s">
        <v>248</v>
      </c>
      <c r="E350" s="39"/>
      <c r="F350" s="30">
        <v>12608.9056</v>
      </c>
      <c r="G350" s="15">
        <f t="shared" si="5"/>
        <v>0</v>
      </c>
      <c r="H350" s="31">
        <v>12608.9056</v>
      </c>
      <c r="I350" s="31">
        <v>12608.9056</v>
      </c>
      <c r="J350" s="32">
        <v>12608.9056</v>
      </c>
    </row>
    <row r="351" spans="1:10" ht="63.75">
      <c r="A351" s="37" t="s">
        <v>497</v>
      </c>
      <c r="B351" s="40" t="s">
        <v>227</v>
      </c>
      <c r="C351" s="40" t="s">
        <v>241</v>
      </c>
      <c r="D351" s="40" t="s">
        <v>248</v>
      </c>
      <c r="E351" s="40" t="s">
        <v>34</v>
      </c>
      <c r="F351" s="30">
        <v>2695.9603200000001</v>
      </c>
      <c r="G351" s="15">
        <f t="shared" ref="G351:G424" si="6">SUM(H351-F351)</f>
        <v>0</v>
      </c>
      <c r="H351" s="31">
        <v>2695.9603200000001</v>
      </c>
      <c r="I351" s="31">
        <v>2696.5006899999998</v>
      </c>
      <c r="J351" s="32">
        <v>2696.5006899999998</v>
      </c>
    </row>
    <row r="352" spans="1:10" ht="76.5">
      <c r="A352" s="37" t="s">
        <v>553</v>
      </c>
      <c r="B352" s="40" t="s">
        <v>227</v>
      </c>
      <c r="C352" s="40" t="s">
        <v>241</v>
      </c>
      <c r="D352" s="40" t="s">
        <v>248</v>
      </c>
      <c r="E352" s="40" t="s">
        <v>109</v>
      </c>
      <c r="F352" s="30">
        <v>9912.9452799999999</v>
      </c>
      <c r="G352" s="15">
        <f t="shared" si="6"/>
        <v>0</v>
      </c>
      <c r="H352" s="31">
        <v>9912.9452799999999</v>
      </c>
      <c r="I352" s="31">
        <v>9912.4049099999993</v>
      </c>
      <c r="J352" s="32">
        <v>9912.4049099999993</v>
      </c>
    </row>
    <row r="353" spans="1:10" ht="25.5">
      <c r="A353" s="35" t="s">
        <v>443</v>
      </c>
      <c r="B353" s="39" t="s">
        <v>227</v>
      </c>
      <c r="C353" s="39" t="s">
        <v>241</v>
      </c>
      <c r="D353" s="39" t="s">
        <v>444</v>
      </c>
      <c r="E353" s="39"/>
      <c r="F353" s="30">
        <v>0</v>
      </c>
      <c r="G353" s="15">
        <f t="shared" si="6"/>
        <v>0</v>
      </c>
      <c r="H353" s="31">
        <v>0</v>
      </c>
      <c r="I353" s="31">
        <v>58623.095999999998</v>
      </c>
      <c r="J353" s="32">
        <v>0</v>
      </c>
    </row>
    <row r="354" spans="1:10" ht="47.25" customHeight="1">
      <c r="A354" s="37" t="s">
        <v>554</v>
      </c>
      <c r="B354" s="40" t="s">
        <v>227</v>
      </c>
      <c r="C354" s="40" t="s">
        <v>241</v>
      </c>
      <c r="D354" s="40" t="s">
        <v>444</v>
      </c>
      <c r="E354" s="40" t="s">
        <v>109</v>
      </c>
      <c r="F354" s="30">
        <v>0</v>
      </c>
      <c r="G354" s="15">
        <f t="shared" si="6"/>
        <v>0</v>
      </c>
      <c r="H354" s="31">
        <v>0</v>
      </c>
      <c r="I354" s="31">
        <v>58623.095999999998</v>
      </c>
      <c r="J354" s="32">
        <v>0</v>
      </c>
    </row>
    <row r="355" spans="1:10" ht="63.75">
      <c r="A355" s="35" t="s">
        <v>249</v>
      </c>
      <c r="B355" s="39" t="s">
        <v>227</v>
      </c>
      <c r="C355" s="39" t="s">
        <v>241</v>
      </c>
      <c r="D355" s="39" t="s">
        <v>250</v>
      </c>
      <c r="E355" s="39"/>
      <c r="F355" s="41">
        <f>3100+460</f>
        <v>3560</v>
      </c>
      <c r="G355" s="15">
        <f t="shared" si="6"/>
        <v>460</v>
      </c>
      <c r="H355" s="31">
        <v>4020</v>
      </c>
      <c r="I355" s="31">
        <v>3230.904</v>
      </c>
      <c r="J355" s="32">
        <v>3352.98</v>
      </c>
    </row>
    <row r="356" spans="1:10" ht="76.5">
      <c r="A356" s="37" t="s">
        <v>498</v>
      </c>
      <c r="B356" s="40" t="s">
        <v>227</v>
      </c>
      <c r="C356" s="40" t="s">
        <v>241</v>
      </c>
      <c r="D356" s="40" t="s">
        <v>250</v>
      </c>
      <c r="E356" s="40" t="s">
        <v>34</v>
      </c>
      <c r="F356" s="41">
        <f>684+124.8</f>
        <v>808.8</v>
      </c>
      <c r="G356" s="15">
        <f t="shared" si="6"/>
        <v>48.644700000000057</v>
      </c>
      <c r="H356" s="31">
        <v>857.44470000000001</v>
      </c>
      <c r="I356" s="31">
        <v>711.4</v>
      </c>
      <c r="J356" s="32">
        <v>739.8</v>
      </c>
    </row>
    <row r="357" spans="1:10" ht="89.25">
      <c r="A357" s="37" t="s">
        <v>555</v>
      </c>
      <c r="B357" s="40" t="s">
        <v>227</v>
      </c>
      <c r="C357" s="40" t="s">
        <v>241</v>
      </c>
      <c r="D357" s="40" t="s">
        <v>250</v>
      </c>
      <c r="E357" s="40" t="s">
        <v>109</v>
      </c>
      <c r="F357" s="30">
        <f>2416+335.2</f>
        <v>2751.2</v>
      </c>
      <c r="G357" s="15">
        <f t="shared" si="6"/>
        <v>411.35530000000017</v>
      </c>
      <c r="H357" s="31">
        <v>3162.5553</v>
      </c>
      <c r="I357" s="31">
        <v>2519.5039999999999</v>
      </c>
      <c r="J357" s="32">
        <v>2613.1799999999998</v>
      </c>
    </row>
    <row r="358" spans="1:10" ht="25.5">
      <c r="A358" s="35" t="s">
        <v>445</v>
      </c>
      <c r="B358" s="39" t="s">
        <v>227</v>
      </c>
      <c r="C358" s="39" t="s">
        <v>241</v>
      </c>
      <c r="D358" s="39" t="s">
        <v>446</v>
      </c>
      <c r="E358" s="39"/>
      <c r="F358" s="30">
        <v>7133.23452</v>
      </c>
      <c r="G358" s="15">
        <f t="shared" si="6"/>
        <v>-105.41726000000017</v>
      </c>
      <c r="H358" s="31">
        <v>7027.8172599999998</v>
      </c>
      <c r="I358" s="31">
        <v>0</v>
      </c>
      <c r="J358" s="32">
        <v>0</v>
      </c>
    </row>
    <row r="359" spans="1:10" ht="38.25">
      <c r="A359" s="37" t="s">
        <v>499</v>
      </c>
      <c r="B359" s="40" t="s">
        <v>227</v>
      </c>
      <c r="C359" s="40" t="s">
        <v>241</v>
      </c>
      <c r="D359" s="40" t="s">
        <v>446</v>
      </c>
      <c r="E359" s="40" t="s">
        <v>34</v>
      </c>
      <c r="F359" s="30">
        <v>3045.6831499999998</v>
      </c>
      <c r="G359" s="15">
        <f t="shared" si="6"/>
        <v>-45.394649999999729</v>
      </c>
      <c r="H359" s="31">
        <v>3000.2885000000001</v>
      </c>
      <c r="I359" s="31">
        <v>0</v>
      </c>
      <c r="J359" s="32">
        <v>0</v>
      </c>
    </row>
    <row r="360" spans="1:10" ht="51">
      <c r="A360" s="37" t="s">
        <v>556</v>
      </c>
      <c r="B360" s="40" t="s">
        <v>227</v>
      </c>
      <c r="C360" s="40" t="s">
        <v>241</v>
      </c>
      <c r="D360" s="40" t="s">
        <v>446</v>
      </c>
      <c r="E360" s="40" t="s">
        <v>109</v>
      </c>
      <c r="F360" s="30">
        <v>4087.5513700000001</v>
      </c>
      <c r="G360" s="15">
        <f t="shared" si="6"/>
        <v>-60.022609999999986</v>
      </c>
      <c r="H360" s="31">
        <v>4027.5287600000001</v>
      </c>
      <c r="I360" s="31">
        <v>0</v>
      </c>
      <c r="J360" s="32">
        <v>0</v>
      </c>
    </row>
    <row r="361" spans="1:10" ht="25.5">
      <c r="A361" s="35" t="s">
        <v>421</v>
      </c>
      <c r="B361" s="39" t="s">
        <v>227</v>
      </c>
      <c r="C361" s="39" t="s">
        <v>241</v>
      </c>
      <c r="D361" s="39" t="s">
        <v>388</v>
      </c>
      <c r="E361" s="39"/>
      <c r="F361" s="30">
        <v>1959.84772</v>
      </c>
      <c r="G361" s="15">
        <f t="shared" si="6"/>
        <v>0</v>
      </c>
      <c r="H361" s="31">
        <v>1959.84772</v>
      </c>
      <c r="I361" s="31">
        <v>3000</v>
      </c>
      <c r="J361" s="32">
        <v>3000</v>
      </c>
    </row>
    <row r="362" spans="1:10" ht="38.25">
      <c r="A362" s="37" t="s">
        <v>500</v>
      </c>
      <c r="B362" s="40" t="s">
        <v>227</v>
      </c>
      <c r="C362" s="40" t="s">
        <v>241</v>
      </c>
      <c r="D362" s="40" t="s">
        <v>388</v>
      </c>
      <c r="E362" s="40" t="s">
        <v>34</v>
      </c>
      <c r="F362" s="30">
        <v>751.98730999999998</v>
      </c>
      <c r="G362" s="15">
        <f t="shared" si="6"/>
        <v>0</v>
      </c>
      <c r="H362" s="31">
        <v>751.98730999999998</v>
      </c>
      <c r="I362" s="31">
        <v>0</v>
      </c>
      <c r="J362" s="32">
        <v>0</v>
      </c>
    </row>
    <row r="363" spans="1:10" ht="51">
      <c r="A363" s="37" t="s">
        <v>557</v>
      </c>
      <c r="B363" s="40" t="s">
        <v>227</v>
      </c>
      <c r="C363" s="40" t="s">
        <v>241</v>
      </c>
      <c r="D363" s="40" t="s">
        <v>388</v>
      </c>
      <c r="E363" s="40" t="s">
        <v>109</v>
      </c>
      <c r="F363" s="30">
        <v>1207.86041</v>
      </c>
      <c r="G363" s="15">
        <f t="shared" si="6"/>
        <v>0</v>
      </c>
      <c r="H363" s="31">
        <v>1207.86041</v>
      </c>
      <c r="I363" s="31">
        <v>3000</v>
      </c>
      <c r="J363" s="32">
        <v>3000</v>
      </c>
    </row>
    <row r="364" spans="1:10" ht="63.75">
      <c r="A364" s="35" t="s">
        <v>251</v>
      </c>
      <c r="B364" s="39" t="s">
        <v>227</v>
      </c>
      <c r="C364" s="39" t="s">
        <v>241</v>
      </c>
      <c r="D364" s="39" t="s">
        <v>252</v>
      </c>
      <c r="E364" s="39"/>
      <c r="F364" s="30">
        <v>101.52284</v>
      </c>
      <c r="G364" s="15">
        <f t="shared" si="6"/>
        <v>0</v>
      </c>
      <c r="H364" s="31">
        <v>101.52284</v>
      </c>
      <c r="I364" s="31">
        <v>100</v>
      </c>
      <c r="J364" s="32">
        <v>101.6</v>
      </c>
    </row>
    <row r="365" spans="1:10" ht="89.25">
      <c r="A365" s="37" t="s">
        <v>501</v>
      </c>
      <c r="B365" s="40" t="s">
        <v>227</v>
      </c>
      <c r="C365" s="40" t="s">
        <v>241</v>
      </c>
      <c r="D365" s="40" t="s">
        <v>252</v>
      </c>
      <c r="E365" s="40" t="s">
        <v>34</v>
      </c>
      <c r="F365" s="30">
        <v>0</v>
      </c>
      <c r="G365" s="15">
        <f t="shared" si="6"/>
        <v>0</v>
      </c>
      <c r="H365" s="31">
        <v>0</v>
      </c>
      <c r="I365" s="31">
        <v>100</v>
      </c>
      <c r="J365" s="32">
        <v>101.6</v>
      </c>
    </row>
    <row r="366" spans="1:10" ht="89.25">
      <c r="A366" s="37" t="s">
        <v>717</v>
      </c>
      <c r="B366" s="38" t="s">
        <v>227</v>
      </c>
      <c r="C366" s="38" t="s">
        <v>241</v>
      </c>
      <c r="D366" s="38" t="s">
        <v>252</v>
      </c>
      <c r="E366" s="38" t="s">
        <v>109</v>
      </c>
      <c r="F366" s="30">
        <v>101.52284</v>
      </c>
      <c r="G366" s="15">
        <f t="shared" si="6"/>
        <v>0</v>
      </c>
      <c r="H366" s="31">
        <v>101.52284</v>
      </c>
      <c r="I366" s="31">
        <v>0</v>
      </c>
      <c r="J366" s="32">
        <v>0</v>
      </c>
    </row>
    <row r="367" spans="1:10" ht="25.5">
      <c r="A367" s="35" t="s">
        <v>298</v>
      </c>
      <c r="B367" s="39" t="s">
        <v>227</v>
      </c>
      <c r="C367" s="39" t="s">
        <v>241</v>
      </c>
      <c r="D367" s="39" t="s">
        <v>422</v>
      </c>
      <c r="E367" s="39"/>
      <c r="F367" s="30">
        <v>2383.24487</v>
      </c>
      <c r="G367" s="15">
        <f t="shared" si="6"/>
        <v>-48.219489999999951</v>
      </c>
      <c r="H367" s="31">
        <v>2335.02538</v>
      </c>
      <c r="I367" s="31">
        <v>0</v>
      </c>
      <c r="J367" s="32">
        <v>0</v>
      </c>
    </row>
    <row r="368" spans="1:10" ht="38.25">
      <c r="A368" s="37" t="s">
        <v>502</v>
      </c>
      <c r="B368" s="40" t="s">
        <v>227</v>
      </c>
      <c r="C368" s="40" t="s">
        <v>241</v>
      </c>
      <c r="D368" s="40" t="s">
        <v>422</v>
      </c>
      <c r="E368" s="40" t="s">
        <v>34</v>
      </c>
      <c r="F368" s="30">
        <v>2383.24487</v>
      </c>
      <c r="G368" s="15">
        <f t="shared" si="6"/>
        <v>-48.219489999999951</v>
      </c>
      <c r="H368" s="31">
        <v>2335.02538</v>
      </c>
      <c r="I368" s="31">
        <v>0</v>
      </c>
      <c r="J368" s="32">
        <v>0</v>
      </c>
    </row>
    <row r="369" spans="1:10" ht="38.25">
      <c r="A369" s="37" t="s">
        <v>672</v>
      </c>
      <c r="B369" s="43" t="s">
        <v>227</v>
      </c>
      <c r="C369" s="43" t="s">
        <v>241</v>
      </c>
      <c r="D369" s="43" t="s">
        <v>659</v>
      </c>
      <c r="E369" s="43"/>
      <c r="F369" s="30">
        <v>0</v>
      </c>
      <c r="G369" s="15">
        <f t="shared" si="6"/>
        <v>2411.7171699999999</v>
      </c>
      <c r="H369" s="31">
        <v>2411.7171699999999</v>
      </c>
      <c r="I369" s="31">
        <v>0</v>
      </c>
      <c r="J369" s="32">
        <v>0</v>
      </c>
    </row>
    <row r="370" spans="1:10" ht="51">
      <c r="A370" s="37" t="s">
        <v>673</v>
      </c>
      <c r="B370" s="44" t="s">
        <v>227</v>
      </c>
      <c r="C370" s="44" t="s">
        <v>241</v>
      </c>
      <c r="D370" s="44" t="s">
        <v>659</v>
      </c>
      <c r="E370" s="44" t="s">
        <v>34</v>
      </c>
      <c r="F370" s="30">
        <v>0</v>
      </c>
      <c r="G370" s="15">
        <f t="shared" si="6"/>
        <v>693.94061999999997</v>
      </c>
      <c r="H370" s="31">
        <v>693.94061999999997</v>
      </c>
      <c r="I370" s="31">
        <v>0</v>
      </c>
      <c r="J370" s="32">
        <v>0</v>
      </c>
    </row>
    <row r="371" spans="1:10" ht="63.75">
      <c r="A371" s="37" t="s">
        <v>674</v>
      </c>
      <c r="B371" s="44" t="s">
        <v>227</v>
      </c>
      <c r="C371" s="44" t="s">
        <v>241</v>
      </c>
      <c r="D371" s="44" t="s">
        <v>659</v>
      </c>
      <c r="E371" s="44" t="s">
        <v>109</v>
      </c>
      <c r="F371" s="30">
        <v>0</v>
      </c>
      <c r="G371" s="15">
        <f t="shared" si="6"/>
        <v>1717.77655</v>
      </c>
      <c r="H371" s="31">
        <v>1717.77655</v>
      </c>
      <c r="I371" s="31">
        <v>0</v>
      </c>
      <c r="J371" s="32">
        <v>0</v>
      </c>
    </row>
    <row r="372" spans="1:10">
      <c r="A372" s="18" t="s">
        <v>253</v>
      </c>
      <c r="B372" s="19" t="s">
        <v>227</v>
      </c>
      <c r="C372" s="19" t="s">
        <v>254</v>
      </c>
      <c r="D372" s="19"/>
      <c r="E372" s="19"/>
      <c r="F372" s="20">
        <f>42148.49827+4378.5</f>
        <v>46526.998269999996</v>
      </c>
      <c r="G372" s="15">
        <f t="shared" si="6"/>
        <v>67.604900000005728</v>
      </c>
      <c r="H372" s="21">
        <v>46594.603170000002</v>
      </c>
      <c r="I372" s="21">
        <v>41933.248</v>
      </c>
      <c r="J372" s="22">
        <v>43643.3</v>
      </c>
    </row>
    <row r="373" spans="1:10" ht="38.25">
      <c r="A373" s="23" t="s">
        <v>82</v>
      </c>
      <c r="B373" s="24" t="s">
        <v>227</v>
      </c>
      <c r="C373" s="24" t="s">
        <v>254</v>
      </c>
      <c r="D373" s="24" t="s">
        <v>83</v>
      </c>
      <c r="E373" s="24"/>
      <c r="F373" s="25">
        <f>42148.49827+4378.5</f>
        <v>46526.998269999996</v>
      </c>
      <c r="G373" s="15">
        <f t="shared" si="6"/>
        <v>67.604900000005728</v>
      </c>
      <c r="H373" s="26">
        <v>46594.603170000002</v>
      </c>
      <c r="I373" s="26">
        <v>41933.248</v>
      </c>
      <c r="J373" s="27">
        <v>43643.3</v>
      </c>
    </row>
    <row r="374" spans="1:10">
      <c r="A374" s="28" t="s">
        <v>255</v>
      </c>
      <c r="B374" s="29" t="s">
        <v>227</v>
      </c>
      <c r="C374" s="29" t="s">
        <v>254</v>
      </c>
      <c r="D374" s="29" t="s">
        <v>256</v>
      </c>
      <c r="E374" s="29"/>
      <c r="F374" s="30">
        <f>42148.49827+4378.5</f>
        <v>46526.998269999996</v>
      </c>
      <c r="G374" s="15">
        <f t="shared" si="6"/>
        <v>67.604900000005728</v>
      </c>
      <c r="H374" s="31">
        <v>46594.603170000002</v>
      </c>
      <c r="I374" s="31">
        <v>41933.248</v>
      </c>
      <c r="J374" s="32">
        <v>43643.3</v>
      </c>
    </row>
    <row r="375" spans="1:10" ht="38.25">
      <c r="A375" s="33" t="s">
        <v>257</v>
      </c>
      <c r="B375" s="34" t="s">
        <v>227</v>
      </c>
      <c r="C375" s="34" t="s">
        <v>254</v>
      </c>
      <c r="D375" s="34" t="s">
        <v>258</v>
      </c>
      <c r="E375" s="34"/>
      <c r="F375" s="30">
        <f>42111.41659+4378.5</f>
        <v>46489.916590000001</v>
      </c>
      <c r="G375" s="15">
        <f t="shared" si="6"/>
        <v>41.922950000000128</v>
      </c>
      <c r="H375" s="31">
        <v>46531.839540000001</v>
      </c>
      <c r="I375" s="31">
        <v>41933.248</v>
      </c>
      <c r="J375" s="32">
        <v>43643.3</v>
      </c>
    </row>
    <row r="376" spans="1:10">
      <c r="A376" s="33"/>
      <c r="B376" s="43" t="s">
        <v>227</v>
      </c>
      <c r="C376" s="43" t="s">
        <v>254</v>
      </c>
      <c r="D376" s="43" t="s">
        <v>694</v>
      </c>
      <c r="E376" s="43"/>
      <c r="F376" s="30">
        <v>0</v>
      </c>
      <c r="G376" s="15">
        <f t="shared" si="6"/>
        <v>65.099999999999994</v>
      </c>
      <c r="H376" s="31">
        <v>65.099999999999994</v>
      </c>
      <c r="I376" s="31">
        <v>0</v>
      </c>
      <c r="J376" s="32">
        <v>0</v>
      </c>
    </row>
    <row r="377" spans="1:10">
      <c r="A377" s="33"/>
      <c r="B377" s="44" t="s">
        <v>227</v>
      </c>
      <c r="C377" s="44" t="s">
        <v>254</v>
      </c>
      <c r="D377" s="44" t="s">
        <v>694</v>
      </c>
      <c r="E377" s="44" t="s">
        <v>28</v>
      </c>
      <c r="F377" s="30">
        <v>0</v>
      </c>
      <c r="G377" s="15">
        <f t="shared" si="6"/>
        <v>65.099999999999994</v>
      </c>
      <c r="H377" s="31">
        <v>65.099999999999994</v>
      </c>
      <c r="I377" s="31">
        <v>0</v>
      </c>
      <c r="J377" s="32">
        <v>0</v>
      </c>
    </row>
    <row r="378" spans="1:10" ht="63.75">
      <c r="A378" s="35" t="s">
        <v>259</v>
      </c>
      <c r="B378" s="39" t="s">
        <v>227</v>
      </c>
      <c r="C378" s="39" t="s">
        <v>254</v>
      </c>
      <c r="D378" s="39" t="s">
        <v>260</v>
      </c>
      <c r="E378" s="39"/>
      <c r="F378" s="30">
        <f>42111.41659+4378.5</f>
        <v>46489.916590000001</v>
      </c>
      <c r="G378" s="15">
        <f t="shared" si="6"/>
        <v>-23.177049999998417</v>
      </c>
      <c r="H378" s="31">
        <v>46466.739540000002</v>
      </c>
      <c r="I378" s="31">
        <v>41933.248</v>
      </c>
      <c r="J378" s="32">
        <v>43643.3</v>
      </c>
    </row>
    <row r="379" spans="1:10" ht="114.75">
      <c r="A379" s="37" t="s">
        <v>471</v>
      </c>
      <c r="B379" s="40" t="s">
        <v>227</v>
      </c>
      <c r="C379" s="40" t="s">
        <v>254</v>
      </c>
      <c r="D379" s="40" t="s">
        <v>260</v>
      </c>
      <c r="E379" s="40" t="s">
        <v>28</v>
      </c>
      <c r="F379" s="30">
        <f>16329.5+1657.1</f>
        <v>17986.599999999999</v>
      </c>
      <c r="G379" s="15">
        <f t="shared" si="6"/>
        <v>-1129</v>
      </c>
      <c r="H379" s="31">
        <v>16857.599999999999</v>
      </c>
      <c r="I379" s="31">
        <v>16668.599999999999</v>
      </c>
      <c r="J379" s="32">
        <v>17335.400000000001</v>
      </c>
    </row>
    <row r="380" spans="1:10" ht="76.5">
      <c r="A380" s="37" t="s">
        <v>503</v>
      </c>
      <c r="B380" s="40" t="s">
        <v>227</v>
      </c>
      <c r="C380" s="40" t="s">
        <v>254</v>
      </c>
      <c r="D380" s="40" t="s">
        <v>260</v>
      </c>
      <c r="E380" s="40" t="s">
        <v>34</v>
      </c>
      <c r="F380" s="30">
        <f>1946.08714+100</f>
        <v>2046.0871400000001</v>
      </c>
      <c r="G380" s="15">
        <f t="shared" si="6"/>
        <v>41.780099999999948</v>
      </c>
      <c r="H380" s="31">
        <v>2087.86724</v>
      </c>
      <c r="I380" s="31">
        <v>1637.5</v>
      </c>
      <c r="J380" s="32">
        <v>1737.8</v>
      </c>
    </row>
    <row r="381" spans="1:10" ht="76.5">
      <c r="A381" s="37" t="s">
        <v>515</v>
      </c>
      <c r="B381" s="40" t="s">
        <v>227</v>
      </c>
      <c r="C381" s="40" t="s">
        <v>254</v>
      </c>
      <c r="D381" s="40" t="s">
        <v>260</v>
      </c>
      <c r="E381" s="40" t="s">
        <v>50</v>
      </c>
      <c r="F381" s="30">
        <v>0</v>
      </c>
      <c r="G381" s="15">
        <f t="shared" si="6"/>
        <v>0</v>
      </c>
      <c r="H381" s="31">
        <v>0</v>
      </c>
      <c r="I381" s="31">
        <v>10</v>
      </c>
      <c r="J381" s="32">
        <v>10.8</v>
      </c>
    </row>
    <row r="382" spans="1:10" ht="89.25">
      <c r="A382" s="37" t="s">
        <v>558</v>
      </c>
      <c r="B382" s="40" t="s">
        <v>227</v>
      </c>
      <c r="C382" s="40" t="s">
        <v>254</v>
      </c>
      <c r="D382" s="40" t="s">
        <v>260</v>
      </c>
      <c r="E382" s="40" t="s">
        <v>109</v>
      </c>
      <c r="F382" s="30">
        <f>23823.82945+2621.4</f>
        <v>26445.229450000003</v>
      </c>
      <c r="G382" s="15">
        <f t="shared" si="6"/>
        <v>1072.4958499999957</v>
      </c>
      <c r="H382" s="31">
        <v>27517.725299999998</v>
      </c>
      <c r="I382" s="31">
        <v>23605.148000000001</v>
      </c>
      <c r="J382" s="32">
        <v>24547.3</v>
      </c>
    </row>
    <row r="383" spans="1:10" ht="76.5">
      <c r="A383" s="37" t="s">
        <v>578</v>
      </c>
      <c r="B383" s="40" t="s">
        <v>227</v>
      </c>
      <c r="C383" s="40" t="s">
        <v>254</v>
      </c>
      <c r="D383" s="40" t="s">
        <v>260</v>
      </c>
      <c r="E383" s="40" t="s">
        <v>51</v>
      </c>
      <c r="F383" s="30">
        <v>12</v>
      </c>
      <c r="G383" s="15">
        <f t="shared" si="6"/>
        <v>-8.4529999999999994</v>
      </c>
      <c r="H383" s="31">
        <v>3.5470000000000002</v>
      </c>
      <c r="I383" s="31">
        <v>12</v>
      </c>
      <c r="J383" s="32">
        <v>12</v>
      </c>
    </row>
    <row r="384" spans="1:10" ht="25.5">
      <c r="A384" s="33" t="s">
        <v>261</v>
      </c>
      <c r="B384" s="34" t="s">
        <v>227</v>
      </c>
      <c r="C384" s="34" t="s">
        <v>254</v>
      </c>
      <c r="D384" s="34" t="s">
        <v>262</v>
      </c>
      <c r="E384" s="34"/>
      <c r="F384" s="30">
        <v>37.081679999999999</v>
      </c>
      <c r="G384" s="15">
        <f t="shared" si="6"/>
        <v>25.681950000000001</v>
      </c>
      <c r="H384" s="31">
        <v>62.763629999999999</v>
      </c>
      <c r="I384" s="31">
        <v>0</v>
      </c>
      <c r="J384" s="32">
        <v>0</v>
      </c>
    </row>
    <row r="385" spans="1:11" ht="51">
      <c r="A385" s="79" t="s">
        <v>707</v>
      </c>
      <c r="B385" s="43" t="s">
        <v>227</v>
      </c>
      <c r="C385" s="43" t="s">
        <v>254</v>
      </c>
      <c r="D385" s="43" t="s">
        <v>695</v>
      </c>
      <c r="E385" s="43"/>
      <c r="F385" s="30">
        <v>0</v>
      </c>
      <c r="G385" s="15">
        <f t="shared" si="6"/>
        <v>25.681950000000001</v>
      </c>
      <c r="H385" s="31">
        <v>25.681950000000001</v>
      </c>
      <c r="I385" s="31">
        <v>0</v>
      </c>
      <c r="J385" s="32">
        <v>0</v>
      </c>
    </row>
    <row r="386" spans="1:11" ht="76.5">
      <c r="A386" s="80" t="s">
        <v>708</v>
      </c>
      <c r="B386" s="44" t="s">
        <v>227</v>
      </c>
      <c r="C386" s="44" t="s">
        <v>254</v>
      </c>
      <c r="D386" s="44" t="s">
        <v>695</v>
      </c>
      <c r="E386" s="44" t="s">
        <v>109</v>
      </c>
      <c r="F386" s="30">
        <v>0</v>
      </c>
      <c r="G386" s="15">
        <f t="shared" si="6"/>
        <v>25.681950000000001</v>
      </c>
      <c r="H386" s="31">
        <v>25.681950000000001</v>
      </c>
      <c r="I386" s="31">
        <v>0</v>
      </c>
      <c r="J386" s="32">
        <v>0</v>
      </c>
    </row>
    <row r="387" spans="1:11" ht="51">
      <c r="A387" s="35" t="s">
        <v>263</v>
      </c>
      <c r="B387" s="39" t="s">
        <v>227</v>
      </c>
      <c r="C387" s="39" t="s">
        <v>254</v>
      </c>
      <c r="D387" s="39" t="s">
        <v>264</v>
      </c>
      <c r="E387" s="39"/>
      <c r="F387" s="30">
        <v>37.081679999999999</v>
      </c>
      <c r="G387" s="15">
        <f t="shared" si="6"/>
        <v>0</v>
      </c>
      <c r="H387" s="31">
        <v>37.081679999999999</v>
      </c>
      <c r="I387" s="31">
        <v>0</v>
      </c>
      <c r="J387" s="32">
        <v>0</v>
      </c>
    </row>
    <row r="388" spans="1:11" ht="76.5">
      <c r="A388" s="37" t="s">
        <v>559</v>
      </c>
      <c r="B388" s="40" t="s">
        <v>227</v>
      </c>
      <c r="C388" s="40" t="s">
        <v>254</v>
      </c>
      <c r="D388" s="40" t="s">
        <v>264</v>
      </c>
      <c r="E388" s="40" t="s">
        <v>109</v>
      </c>
      <c r="F388" s="30">
        <v>37.081679999999999</v>
      </c>
      <c r="G388" s="15">
        <f t="shared" si="6"/>
        <v>0</v>
      </c>
      <c r="H388" s="31">
        <v>37.081679999999999</v>
      </c>
      <c r="I388" s="31">
        <v>0</v>
      </c>
      <c r="J388" s="32">
        <v>0</v>
      </c>
    </row>
    <row r="389" spans="1:11">
      <c r="A389" s="18" t="s">
        <v>265</v>
      </c>
      <c r="B389" s="19" t="s">
        <v>227</v>
      </c>
      <c r="C389" s="19" t="s">
        <v>266</v>
      </c>
      <c r="D389" s="19"/>
      <c r="E389" s="19"/>
      <c r="F389" s="20">
        <v>738.72182999999995</v>
      </c>
      <c r="G389" s="15">
        <f t="shared" si="6"/>
        <v>140.81366000000003</v>
      </c>
      <c r="H389" s="21">
        <v>879.53548999999998</v>
      </c>
      <c r="I389" s="21">
        <v>380</v>
      </c>
      <c r="J389" s="22">
        <v>395.2</v>
      </c>
    </row>
    <row r="390" spans="1:11" ht="38.25">
      <c r="A390" s="23" t="s">
        <v>82</v>
      </c>
      <c r="B390" s="24" t="s">
        <v>227</v>
      </c>
      <c r="C390" s="24" t="s">
        <v>266</v>
      </c>
      <c r="D390" s="24" t="s">
        <v>83</v>
      </c>
      <c r="E390" s="24"/>
      <c r="F390" s="25">
        <v>738.72182999999995</v>
      </c>
      <c r="G390" s="15">
        <f t="shared" si="6"/>
        <v>140.81366000000003</v>
      </c>
      <c r="H390" s="26">
        <v>879.53548999999998</v>
      </c>
      <c r="I390" s="26">
        <v>380</v>
      </c>
      <c r="J390" s="27">
        <v>395.2</v>
      </c>
    </row>
    <row r="391" spans="1:11">
      <c r="A391" s="28" t="s">
        <v>267</v>
      </c>
      <c r="B391" s="29" t="s">
        <v>227</v>
      </c>
      <c r="C391" s="29" t="s">
        <v>266</v>
      </c>
      <c r="D391" s="29" t="s">
        <v>268</v>
      </c>
      <c r="E391" s="29"/>
      <c r="F391" s="30">
        <v>738.72182999999995</v>
      </c>
      <c r="G391" s="15">
        <f t="shared" si="6"/>
        <v>140.81366000000003</v>
      </c>
      <c r="H391" s="31">
        <v>879.53548999999998</v>
      </c>
      <c r="I391" s="31">
        <v>380</v>
      </c>
      <c r="J391" s="32">
        <v>395.2</v>
      </c>
    </row>
    <row r="392" spans="1:11" ht="38.25">
      <c r="A392" s="33" t="s">
        <v>423</v>
      </c>
      <c r="B392" s="34" t="s">
        <v>227</v>
      </c>
      <c r="C392" s="34" t="s">
        <v>266</v>
      </c>
      <c r="D392" s="34" t="s">
        <v>424</v>
      </c>
      <c r="E392" s="34"/>
      <c r="F392" s="30">
        <v>142.83466999999999</v>
      </c>
      <c r="G392" s="15">
        <f t="shared" si="6"/>
        <v>116.25366</v>
      </c>
      <c r="H392" s="31">
        <v>259.08832999999998</v>
      </c>
      <c r="I392" s="31">
        <v>380</v>
      </c>
      <c r="J392" s="32">
        <v>395.2</v>
      </c>
    </row>
    <row r="393" spans="1:11" ht="63.75">
      <c r="A393" s="35" t="s">
        <v>723</v>
      </c>
      <c r="B393" s="39" t="s">
        <v>227</v>
      </c>
      <c r="C393" s="39" t="s">
        <v>266</v>
      </c>
      <c r="D393" s="39" t="s">
        <v>425</v>
      </c>
      <c r="E393" s="39"/>
      <c r="F393" s="30">
        <v>142.83466999999999</v>
      </c>
      <c r="G393" s="15">
        <f t="shared" si="6"/>
        <v>116.25366</v>
      </c>
      <c r="H393" s="31">
        <v>259.08832999999998</v>
      </c>
      <c r="I393" s="31">
        <v>310</v>
      </c>
      <c r="J393" s="32">
        <v>322.39999999999998</v>
      </c>
      <c r="K393" s="10"/>
    </row>
    <row r="394" spans="1:11" ht="76.5">
      <c r="A394" s="37" t="s">
        <v>504</v>
      </c>
      <c r="B394" s="40" t="s">
        <v>227</v>
      </c>
      <c r="C394" s="40" t="s">
        <v>266</v>
      </c>
      <c r="D394" s="40" t="s">
        <v>425</v>
      </c>
      <c r="E394" s="40" t="s">
        <v>34</v>
      </c>
      <c r="F394" s="30">
        <v>0</v>
      </c>
      <c r="G394" s="15">
        <f t="shared" si="6"/>
        <v>0</v>
      </c>
      <c r="H394" s="31">
        <v>0</v>
      </c>
      <c r="I394" s="31">
        <v>310</v>
      </c>
      <c r="J394" s="32">
        <v>322.39999999999998</v>
      </c>
    </row>
    <row r="395" spans="1:11" ht="89.25">
      <c r="A395" s="37" t="s">
        <v>560</v>
      </c>
      <c r="B395" s="40" t="s">
        <v>227</v>
      </c>
      <c r="C395" s="40" t="s">
        <v>266</v>
      </c>
      <c r="D395" s="40" t="s">
        <v>425</v>
      </c>
      <c r="E395" s="40" t="s">
        <v>109</v>
      </c>
      <c r="F395" s="30">
        <v>142.83466999999999</v>
      </c>
      <c r="G395" s="15">
        <f t="shared" si="6"/>
        <v>116.25366</v>
      </c>
      <c r="H395" s="31">
        <v>259.08832999999998</v>
      </c>
      <c r="I395" s="31">
        <v>0</v>
      </c>
      <c r="J395" s="32">
        <v>0</v>
      </c>
    </row>
    <row r="396" spans="1:11" ht="63.75">
      <c r="A396" s="35" t="s">
        <v>426</v>
      </c>
      <c r="B396" s="39" t="s">
        <v>227</v>
      </c>
      <c r="C396" s="39" t="s">
        <v>266</v>
      </c>
      <c r="D396" s="39" t="s">
        <v>427</v>
      </c>
      <c r="E396" s="39"/>
      <c r="F396" s="30">
        <v>0</v>
      </c>
      <c r="G396" s="15">
        <f t="shared" si="6"/>
        <v>0</v>
      </c>
      <c r="H396" s="31">
        <v>0</v>
      </c>
      <c r="I396" s="31">
        <v>70</v>
      </c>
      <c r="J396" s="32">
        <v>72.8</v>
      </c>
    </row>
    <row r="397" spans="1:11" ht="89.25">
      <c r="A397" s="37" t="s">
        <v>505</v>
      </c>
      <c r="B397" s="40" t="s">
        <v>227</v>
      </c>
      <c r="C397" s="40" t="s">
        <v>266</v>
      </c>
      <c r="D397" s="40" t="s">
        <v>427</v>
      </c>
      <c r="E397" s="40" t="s">
        <v>34</v>
      </c>
      <c r="F397" s="30">
        <v>0</v>
      </c>
      <c r="G397" s="15">
        <f t="shared" si="6"/>
        <v>0</v>
      </c>
      <c r="H397" s="31">
        <v>0</v>
      </c>
      <c r="I397" s="31">
        <v>70</v>
      </c>
      <c r="J397" s="32">
        <v>72.8</v>
      </c>
    </row>
    <row r="398" spans="1:11">
      <c r="A398" s="33" t="s">
        <v>269</v>
      </c>
      <c r="B398" s="50" t="s">
        <v>227</v>
      </c>
      <c r="C398" s="50" t="s">
        <v>266</v>
      </c>
      <c r="D398" s="50" t="s">
        <v>270</v>
      </c>
      <c r="E398" s="50"/>
      <c r="F398" s="30">
        <v>595.88715999999999</v>
      </c>
      <c r="G398" s="15">
        <f t="shared" si="6"/>
        <v>24.560000000000059</v>
      </c>
      <c r="H398" s="31">
        <v>620.44716000000005</v>
      </c>
      <c r="I398" s="31">
        <v>0</v>
      </c>
      <c r="J398" s="32">
        <v>0</v>
      </c>
    </row>
    <row r="399" spans="1:11" ht="63.75">
      <c r="A399" s="35" t="s">
        <v>639</v>
      </c>
      <c r="B399" s="36" t="s">
        <v>227</v>
      </c>
      <c r="C399" s="36" t="s">
        <v>266</v>
      </c>
      <c r="D399" s="36" t="s">
        <v>640</v>
      </c>
      <c r="E399" s="36"/>
      <c r="F399" s="30">
        <v>595.88715999999999</v>
      </c>
      <c r="G399" s="15">
        <f t="shared" si="6"/>
        <v>8.0600000000000591</v>
      </c>
      <c r="H399" s="31">
        <v>603.94716000000005</v>
      </c>
      <c r="I399" s="31">
        <v>0</v>
      </c>
      <c r="J399" s="32">
        <v>0</v>
      </c>
    </row>
    <row r="400" spans="1:11" ht="76.5">
      <c r="A400" s="37" t="s">
        <v>677</v>
      </c>
      <c r="B400" s="38" t="s">
        <v>227</v>
      </c>
      <c r="C400" s="38" t="s">
        <v>266</v>
      </c>
      <c r="D400" s="38" t="s">
        <v>640</v>
      </c>
      <c r="E400" s="38" t="s">
        <v>34</v>
      </c>
      <c r="F400" s="30">
        <v>33.475000000000001</v>
      </c>
      <c r="G400" s="15">
        <f t="shared" si="6"/>
        <v>-6.5000000000004832E-2</v>
      </c>
      <c r="H400" s="31">
        <v>33.409999999999997</v>
      </c>
      <c r="I400" s="31">
        <v>0</v>
      </c>
      <c r="J400" s="32">
        <v>0</v>
      </c>
    </row>
    <row r="401" spans="1:10" ht="76.5">
      <c r="A401" s="37" t="s">
        <v>718</v>
      </c>
      <c r="B401" s="38" t="s">
        <v>227</v>
      </c>
      <c r="C401" s="38" t="s">
        <v>266</v>
      </c>
      <c r="D401" s="38" t="s">
        <v>640</v>
      </c>
      <c r="E401" s="38" t="s">
        <v>109</v>
      </c>
      <c r="F401" s="30">
        <v>562.41215999999997</v>
      </c>
      <c r="G401" s="15">
        <f t="shared" si="6"/>
        <v>8.125</v>
      </c>
      <c r="H401" s="31">
        <v>570.53715999999997</v>
      </c>
      <c r="I401" s="31">
        <v>0</v>
      </c>
      <c r="J401" s="32">
        <v>0</v>
      </c>
    </row>
    <row r="402" spans="1:10">
      <c r="A402" s="35" t="s">
        <v>675</v>
      </c>
      <c r="B402" s="43" t="s">
        <v>227</v>
      </c>
      <c r="C402" s="43" t="s">
        <v>266</v>
      </c>
      <c r="D402" s="43" t="s">
        <v>660</v>
      </c>
      <c r="E402" s="43"/>
      <c r="F402" s="30">
        <v>0</v>
      </c>
      <c r="G402" s="15">
        <f t="shared" si="6"/>
        <v>16.5</v>
      </c>
      <c r="H402" s="31">
        <v>16.5</v>
      </c>
      <c r="I402" s="31">
        <v>0</v>
      </c>
      <c r="J402" s="32">
        <v>0</v>
      </c>
    </row>
    <row r="403" spans="1:10" ht="25.5">
      <c r="A403" s="37" t="s">
        <v>676</v>
      </c>
      <c r="B403" s="44" t="s">
        <v>227</v>
      </c>
      <c r="C403" s="44" t="s">
        <v>266</v>
      </c>
      <c r="D403" s="44" t="s">
        <v>660</v>
      </c>
      <c r="E403" s="44" t="s">
        <v>34</v>
      </c>
      <c r="F403" s="30">
        <v>0</v>
      </c>
      <c r="G403" s="15">
        <f t="shared" si="6"/>
        <v>16.5</v>
      </c>
      <c r="H403" s="31">
        <v>16.5</v>
      </c>
      <c r="I403" s="31">
        <v>0</v>
      </c>
      <c r="J403" s="32">
        <v>0</v>
      </c>
    </row>
    <row r="404" spans="1:10">
      <c r="A404" s="18" t="s">
        <v>275</v>
      </c>
      <c r="B404" s="19" t="s">
        <v>227</v>
      </c>
      <c r="C404" s="19" t="s">
        <v>276</v>
      </c>
      <c r="D404" s="19"/>
      <c r="E404" s="19"/>
      <c r="F404" s="20">
        <f>651456.31212+2471.8</f>
        <v>653928.11212000006</v>
      </c>
      <c r="G404" s="15">
        <f t="shared" si="6"/>
        <v>-347810.26849000005</v>
      </c>
      <c r="H404" s="21">
        <v>306117.84363000002</v>
      </c>
      <c r="I404" s="21">
        <v>389686.05940999999</v>
      </c>
      <c r="J404" s="22">
        <v>33343.22</v>
      </c>
    </row>
    <row r="405" spans="1:10" ht="38.25">
      <c r="A405" s="23" t="s">
        <v>82</v>
      </c>
      <c r="B405" s="24" t="s">
        <v>227</v>
      </c>
      <c r="C405" s="24" t="s">
        <v>276</v>
      </c>
      <c r="D405" s="24" t="s">
        <v>83</v>
      </c>
      <c r="E405" s="24"/>
      <c r="F405" s="25">
        <f>651456.31212+2471.8</f>
        <v>653928.11212000006</v>
      </c>
      <c r="G405" s="15">
        <f t="shared" si="6"/>
        <v>-347810.26849000005</v>
      </c>
      <c r="H405" s="26">
        <v>306117.84363000002</v>
      </c>
      <c r="I405" s="26">
        <v>389686.05940999999</v>
      </c>
      <c r="J405" s="27">
        <v>33343.22</v>
      </c>
    </row>
    <row r="406" spans="1:10" ht="25.5">
      <c r="A406" s="28" t="s">
        <v>230</v>
      </c>
      <c r="B406" s="29" t="s">
        <v>227</v>
      </c>
      <c r="C406" s="29" t="s">
        <v>276</v>
      </c>
      <c r="D406" s="29" t="s">
        <v>231</v>
      </c>
      <c r="E406" s="29"/>
      <c r="F406" s="30">
        <f>621519.698+60.2</f>
        <v>621579.89799999993</v>
      </c>
      <c r="G406" s="15">
        <f t="shared" si="6"/>
        <v>-348047.77121999994</v>
      </c>
      <c r="H406" s="31">
        <v>273532.12677999999</v>
      </c>
      <c r="I406" s="31">
        <v>358815.25941</v>
      </c>
      <c r="J406" s="32">
        <v>988.88</v>
      </c>
    </row>
    <row r="407" spans="1:10">
      <c r="A407" s="33" t="s">
        <v>238</v>
      </c>
      <c r="B407" s="34" t="s">
        <v>227</v>
      </c>
      <c r="C407" s="34" t="s">
        <v>276</v>
      </c>
      <c r="D407" s="34" t="s">
        <v>239</v>
      </c>
      <c r="E407" s="34"/>
      <c r="F407" s="41">
        <f>620722.54+60.2</f>
        <v>620782.74</v>
      </c>
      <c r="G407" s="15">
        <f t="shared" si="6"/>
        <v>-348136.36021999997</v>
      </c>
      <c r="H407" s="31">
        <v>272646.37978000002</v>
      </c>
      <c r="I407" s="31">
        <v>358018.10141</v>
      </c>
      <c r="J407" s="32">
        <v>0</v>
      </c>
    </row>
    <row r="408" spans="1:10" ht="114.75">
      <c r="A408" s="35" t="s">
        <v>641</v>
      </c>
      <c r="B408" s="36" t="s">
        <v>227</v>
      </c>
      <c r="C408" s="36" t="s">
        <v>276</v>
      </c>
      <c r="D408" s="36" t="s">
        <v>642</v>
      </c>
      <c r="E408" s="36"/>
      <c r="F408" s="30">
        <v>286.44</v>
      </c>
      <c r="G408" s="15">
        <f t="shared" si="6"/>
        <v>0</v>
      </c>
      <c r="H408" s="31">
        <v>286.44</v>
      </c>
      <c r="I408" s="31">
        <v>0</v>
      </c>
      <c r="J408" s="32">
        <v>0</v>
      </c>
    </row>
    <row r="409" spans="1:10" ht="165.75">
      <c r="A409" s="37" t="s">
        <v>681</v>
      </c>
      <c r="B409" s="38" t="s">
        <v>227</v>
      </c>
      <c r="C409" s="38" t="s">
        <v>276</v>
      </c>
      <c r="D409" s="38" t="s">
        <v>642</v>
      </c>
      <c r="E409" s="38" t="s">
        <v>28</v>
      </c>
      <c r="F409" s="30">
        <v>130.19999999999999</v>
      </c>
      <c r="G409" s="15">
        <f t="shared" si="6"/>
        <v>0</v>
      </c>
      <c r="H409" s="31">
        <v>130.19999999999999</v>
      </c>
      <c r="I409" s="31">
        <v>0</v>
      </c>
      <c r="J409" s="32">
        <v>0</v>
      </c>
    </row>
    <row r="410" spans="1:10" ht="140.25">
      <c r="A410" s="37" t="s">
        <v>719</v>
      </c>
      <c r="B410" s="38" t="s">
        <v>227</v>
      </c>
      <c r="C410" s="38" t="s">
        <v>276</v>
      </c>
      <c r="D410" s="38" t="s">
        <v>642</v>
      </c>
      <c r="E410" s="38" t="s">
        <v>109</v>
      </c>
      <c r="F410" s="30">
        <v>156.24</v>
      </c>
      <c r="G410" s="15">
        <f t="shared" si="6"/>
        <v>0</v>
      </c>
      <c r="H410" s="31">
        <v>156.24</v>
      </c>
      <c r="I410" s="31">
        <v>0</v>
      </c>
      <c r="J410" s="32">
        <v>0</v>
      </c>
    </row>
    <row r="411" spans="1:10">
      <c r="A411" s="35" t="s">
        <v>428</v>
      </c>
      <c r="B411" s="39" t="s">
        <v>227</v>
      </c>
      <c r="C411" s="39" t="s">
        <v>276</v>
      </c>
      <c r="D411" s="39" t="s">
        <v>429</v>
      </c>
      <c r="E411" s="39"/>
      <c r="F411" s="30">
        <f>620436.1+60.2</f>
        <v>620496.29999999993</v>
      </c>
      <c r="G411" s="15">
        <f t="shared" si="6"/>
        <v>-348136.36021999991</v>
      </c>
      <c r="H411" s="31">
        <v>272359.93978000002</v>
      </c>
      <c r="I411" s="31">
        <v>358018.10141</v>
      </c>
      <c r="J411" s="32">
        <v>0</v>
      </c>
    </row>
    <row r="412" spans="1:10" ht="38.25">
      <c r="A412" s="37" t="s">
        <v>561</v>
      </c>
      <c r="B412" s="40" t="s">
        <v>227</v>
      </c>
      <c r="C412" s="40" t="s">
        <v>276</v>
      </c>
      <c r="D412" s="40" t="s">
        <v>429</v>
      </c>
      <c r="E412" s="40" t="s">
        <v>109</v>
      </c>
      <c r="F412" s="30">
        <f>620436.1+60.2</f>
        <v>620496.29999999993</v>
      </c>
      <c r="G412" s="15">
        <f t="shared" si="6"/>
        <v>-348136.36021999991</v>
      </c>
      <c r="H412" s="31">
        <v>272359.93978000002</v>
      </c>
      <c r="I412" s="31">
        <v>358018.10141</v>
      </c>
      <c r="J412" s="32">
        <v>0</v>
      </c>
    </row>
    <row r="413" spans="1:10" ht="25.5">
      <c r="A413" s="33" t="s">
        <v>593</v>
      </c>
      <c r="B413" s="34" t="s">
        <v>227</v>
      </c>
      <c r="C413" s="34" t="s">
        <v>276</v>
      </c>
      <c r="D413" s="34" t="s">
        <v>277</v>
      </c>
      <c r="E413" s="34"/>
      <c r="F413" s="30">
        <v>797.15800000000002</v>
      </c>
      <c r="G413" s="15">
        <f t="shared" si="6"/>
        <v>88.588999999999942</v>
      </c>
      <c r="H413" s="31">
        <v>885.74699999999996</v>
      </c>
      <c r="I413" s="31">
        <v>797.15800000000002</v>
      </c>
      <c r="J413" s="32">
        <v>988.88</v>
      </c>
    </row>
    <row r="414" spans="1:10" ht="51">
      <c r="A414" s="35" t="s">
        <v>278</v>
      </c>
      <c r="B414" s="39" t="s">
        <v>227</v>
      </c>
      <c r="C414" s="39" t="s">
        <v>276</v>
      </c>
      <c r="D414" s="39" t="s">
        <v>279</v>
      </c>
      <c r="E414" s="39"/>
      <c r="F414" s="30">
        <v>797.15800000000002</v>
      </c>
      <c r="G414" s="15">
        <f t="shared" si="6"/>
        <v>88.588999999999942</v>
      </c>
      <c r="H414" s="31">
        <v>885.74699999999996</v>
      </c>
      <c r="I414" s="31">
        <v>797.15800000000002</v>
      </c>
      <c r="J414" s="32">
        <v>988.88</v>
      </c>
    </row>
    <row r="415" spans="1:10" ht="76.5">
      <c r="A415" s="37" t="s">
        <v>562</v>
      </c>
      <c r="B415" s="40" t="s">
        <v>227</v>
      </c>
      <c r="C415" s="40" t="s">
        <v>276</v>
      </c>
      <c r="D415" s="40" t="s">
        <v>279</v>
      </c>
      <c r="E415" s="40" t="s">
        <v>109</v>
      </c>
      <c r="F415" s="30">
        <v>797.15800000000002</v>
      </c>
      <c r="G415" s="15">
        <f t="shared" si="6"/>
        <v>88.588999999999942</v>
      </c>
      <c r="H415" s="31">
        <v>885.74699999999996</v>
      </c>
      <c r="I415" s="31">
        <v>797.15800000000002</v>
      </c>
      <c r="J415" s="32">
        <v>988.88</v>
      </c>
    </row>
    <row r="416" spans="1:10">
      <c r="A416" s="28" t="s">
        <v>255</v>
      </c>
      <c r="B416" s="29" t="s">
        <v>227</v>
      </c>
      <c r="C416" s="29" t="s">
        <v>276</v>
      </c>
      <c r="D416" s="29" t="s">
        <v>256</v>
      </c>
      <c r="E416" s="29"/>
      <c r="F416" s="30">
        <f>988.96339+800</f>
        <v>1788.9633899999999</v>
      </c>
      <c r="G416" s="15">
        <f t="shared" si="6"/>
        <v>606.76518000000033</v>
      </c>
      <c r="H416" s="31">
        <v>2395.7285700000002</v>
      </c>
      <c r="I416" s="31">
        <v>400</v>
      </c>
      <c r="J416" s="32">
        <v>414.2</v>
      </c>
    </row>
    <row r="417" spans="1:10" ht="25.5">
      <c r="A417" s="33" t="s">
        <v>261</v>
      </c>
      <c r="B417" s="34" t="s">
        <v>227</v>
      </c>
      <c r="C417" s="34" t="s">
        <v>276</v>
      </c>
      <c r="D417" s="34" t="s">
        <v>262</v>
      </c>
      <c r="E417" s="34"/>
      <c r="F417" s="30">
        <f>988.96339+800</f>
        <v>1788.9633899999999</v>
      </c>
      <c r="G417" s="15">
        <f t="shared" si="6"/>
        <v>606.76518000000033</v>
      </c>
      <c r="H417" s="31">
        <v>2395.7285700000002</v>
      </c>
      <c r="I417" s="31">
        <v>400</v>
      </c>
      <c r="J417" s="32">
        <v>414.2</v>
      </c>
    </row>
    <row r="418" spans="1:10" ht="51">
      <c r="A418" s="35" t="s">
        <v>263</v>
      </c>
      <c r="B418" s="39" t="s">
        <v>227</v>
      </c>
      <c r="C418" s="39" t="s">
        <v>276</v>
      </c>
      <c r="D418" s="39" t="s">
        <v>264</v>
      </c>
      <c r="E418" s="39"/>
      <c r="F418" s="30">
        <f>988.96339+800</f>
        <v>1788.9633899999999</v>
      </c>
      <c r="G418" s="15">
        <f t="shared" si="6"/>
        <v>606.76518000000033</v>
      </c>
      <c r="H418" s="31">
        <v>2395.7285700000002</v>
      </c>
      <c r="I418" s="31">
        <v>400</v>
      </c>
      <c r="J418" s="32">
        <v>414.2</v>
      </c>
    </row>
    <row r="419" spans="1:10" ht="102">
      <c r="A419" s="37" t="s">
        <v>682</v>
      </c>
      <c r="B419" s="44" t="s">
        <v>227</v>
      </c>
      <c r="C419" s="44" t="s">
        <v>276</v>
      </c>
      <c r="D419" s="44" t="s">
        <v>264</v>
      </c>
      <c r="E419" s="44" t="s">
        <v>28</v>
      </c>
      <c r="F419" s="30">
        <v>0</v>
      </c>
      <c r="G419" s="15">
        <f t="shared" si="6"/>
        <v>5</v>
      </c>
      <c r="H419" s="31">
        <v>5</v>
      </c>
      <c r="I419" s="31">
        <v>0</v>
      </c>
      <c r="J419" s="32">
        <v>0</v>
      </c>
    </row>
    <row r="420" spans="1:10" ht="63.75">
      <c r="A420" s="37" t="s">
        <v>506</v>
      </c>
      <c r="B420" s="40" t="s">
        <v>227</v>
      </c>
      <c r="C420" s="40" t="s">
        <v>276</v>
      </c>
      <c r="D420" s="40" t="s">
        <v>264</v>
      </c>
      <c r="E420" s="40" t="s">
        <v>34</v>
      </c>
      <c r="F420" s="30">
        <f>609.41124+800</f>
        <v>1409.4112399999999</v>
      </c>
      <c r="G420" s="15">
        <f t="shared" si="6"/>
        <v>-70.09412999999995</v>
      </c>
      <c r="H420" s="31">
        <v>1339.31711</v>
      </c>
      <c r="I420" s="31">
        <v>400</v>
      </c>
      <c r="J420" s="32">
        <v>414.2</v>
      </c>
    </row>
    <row r="421" spans="1:10" ht="63.75">
      <c r="A421" s="37" t="s">
        <v>516</v>
      </c>
      <c r="B421" s="40" t="s">
        <v>227</v>
      </c>
      <c r="C421" s="40" t="s">
        <v>276</v>
      </c>
      <c r="D421" s="40" t="s">
        <v>264</v>
      </c>
      <c r="E421" s="40" t="s">
        <v>50</v>
      </c>
      <c r="F421" s="30">
        <v>128</v>
      </c>
      <c r="G421" s="15">
        <f t="shared" si="6"/>
        <v>90</v>
      </c>
      <c r="H421" s="31">
        <v>218</v>
      </c>
      <c r="I421" s="31">
        <v>0</v>
      </c>
      <c r="J421" s="32">
        <v>0</v>
      </c>
    </row>
    <row r="422" spans="1:10" ht="76.5">
      <c r="A422" s="37" t="s">
        <v>559</v>
      </c>
      <c r="B422" s="40" t="s">
        <v>227</v>
      </c>
      <c r="C422" s="40" t="s">
        <v>276</v>
      </c>
      <c r="D422" s="40" t="s">
        <v>264</v>
      </c>
      <c r="E422" s="40" t="s">
        <v>109</v>
      </c>
      <c r="F422" s="30">
        <v>251.55215000000001</v>
      </c>
      <c r="G422" s="15">
        <f t="shared" si="6"/>
        <v>581.85931000000005</v>
      </c>
      <c r="H422" s="31">
        <v>833.41146000000003</v>
      </c>
      <c r="I422" s="31">
        <v>0</v>
      </c>
      <c r="J422" s="32">
        <v>0</v>
      </c>
    </row>
    <row r="423" spans="1:10">
      <c r="A423" s="28" t="s">
        <v>267</v>
      </c>
      <c r="B423" s="29" t="s">
        <v>227</v>
      </c>
      <c r="C423" s="29" t="s">
        <v>276</v>
      </c>
      <c r="D423" s="29" t="s">
        <v>268</v>
      </c>
      <c r="E423" s="29"/>
      <c r="F423" s="30">
        <v>6540.3406999999997</v>
      </c>
      <c r="G423" s="15">
        <f t="shared" si="6"/>
        <v>-436.61182000000008</v>
      </c>
      <c r="H423" s="31">
        <v>6103.7288799999997</v>
      </c>
      <c r="I423" s="31">
        <v>7124.4</v>
      </c>
      <c r="J423" s="32">
        <v>7468.6</v>
      </c>
    </row>
    <row r="424" spans="1:10">
      <c r="A424" s="33" t="s">
        <v>269</v>
      </c>
      <c r="B424" s="34" t="s">
        <v>227</v>
      </c>
      <c r="C424" s="34" t="s">
        <v>276</v>
      </c>
      <c r="D424" s="34" t="s">
        <v>270</v>
      </c>
      <c r="E424" s="34"/>
      <c r="F424" s="30">
        <v>6540.3406999999997</v>
      </c>
      <c r="G424" s="15">
        <f t="shared" si="6"/>
        <v>-436.61182000000008</v>
      </c>
      <c r="H424" s="31">
        <v>6103.7288799999997</v>
      </c>
      <c r="I424" s="31">
        <v>7124.4</v>
      </c>
      <c r="J424" s="32">
        <v>7468.6</v>
      </c>
    </row>
    <row r="425" spans="1:10" ht="63.75">
      <c r="A425" s="35" t="s">
        <v>271</v>
      </c>
      <c r="B425" s="39" t="s">
        <v>227</v>
      </c>
      <c r="C425" s="39" t="s">
        <v>276</v>
      </c>
      <c r="D425" s="39" t="s">
        <v>272</v>
      </c>
      <c r="E425" s="39"/>
      <c r="F425" s="30">
        <v>6075.3406999999997</v>
      </c>
      <c r="G425" s="15">
        <f t="shared" ref="G425:G494" si="7">SUM(H425-F425)</f>
        <v>-32.59958000000006</v>
      </c>
      <c r="H425" s="31">
        <v>6042.7411199999997</v>
      </c>
      <c r="I425" s="31">
        <v>6638.6</v>
      </c>
      <c r="J425" s="32">
        <v>6962.5</v>
      </c>
    </row>
    <row r="426" spans="1:10" ht="76.5">
      <c r="A426" s="37" t="s">
        <v>507</v>
      </c>
      <c r="B426" s="40" t="s">
        <v>227</v>
      </c>
      <c r="C426" s="40" t="s">
        <v>276</v>
      </c>
      <c r="D426" s="40" t="s">
        <v>272</v>
      </c>
      <c r="E426" s="40" t="s">
        <v>34</v>
      </c>
      <c r="F426" s="30">
        <v>1315.94318</v>
      </c>
      <c r="G426" s="15">
        <f t="shared" si="7"/>
        <v>-32.59958000000006</v>
      </c>
      <c r="H426" s="31">
        <v>1283.3435999999999</v>
      </c>
      <c r="I426" s="31">
        <v>6638.6</v>
      </c>
      <c r="J426" s="32">
        <v>6962.5</v>
      </c>
    </row>
    <row r="427" spans="1:10" ht="76.5">
      <c r="A427" s="37" t="s">
        <v>720</v>
      </c>
      <c r="B427" s="38" t="s">
        <v>227</v>
      </c>
      <c r="C427" s="38" t="s">
        <v>276</v>
      </c>
      <c r="D427" s="38" t="s">
        <v>272</v>
      </c>
      <c r="E427" s="38" t="s">
        <v>109</v>
      </c>
      <c r="F427" s="30">
        <v>4759.3975200000004</v>
      </c>
      <c r="G427" s="15">
        <f t="shared" si="7"/>
        <v>0</v>
      </c>
      <c r="H427" s="31">
        <v>4759.3975200000004</v>
      </c>
      <c r="I427" s="31">
        <v>0</v>
      </c>
      <c r="J427" s="32">
        <v>0</v>
      </c>
    </row>
    <row r="428" spans="1:10" ht="51">
      <c r="A428" s="35" t="s">
        <v>273</v>
      </c>
      <c r="B428" s="39" t="s">
        <v>227</v>
      </c>
      <c r="C428" s="39" t="s">
        <v>276</v>
      </c>
      <c r="D428" s="39" t="s">
        <v>274</v>
      </c>
      <c r="E428" s="39"/>
      <c r="F428" s="30">
        <v>465</v>
      </c>
      <c r="G428" s="15">
        <f t="shared" si="7"/>
        <v>-404.01224000000002</v>
      </c>
      <c r="H428" s="31">
        <v>60.987760000000002</v>
      </c>
      <c r="I428" s="31">
        <v>485.8</v>
      </c>
      <c r="J428" s="32">
        <v>506.1</v>
      </c>
    </row>
    <row r="429" spans="1:10" ht="63.75">
      <c r="A429" s="37" t="s">
        <v>517</v>
      </c>
      <c r="B429" s="40" t="s">
        <v>227</v>
      </c>
      <c r="C429" s="40" t="s">
        <v>276</v>
      </c>
      <c r="D429" s="40" t="s">
        <v>274</v>
      </c>
      <c r="E429" s="40" t="s">
        <v>50</v>
      </c>
      <c r="F429" s="30">
        <v>465</v>
      </c>
      <c r="G429" s="15">
        <f t="shared" si="7"/>
        <v>-404.01224000000002</v>
      </c>
      <c r="H429" s="31">
        <v>60.987760000000002</v>
      </c>
      <c r="I429" s="31">
        <v>485.8</v>
      </c>
      <c r="J429" s="32">
        <v>506.1</v>
      </c>
    </row>
    <row r="430" spans="1:10">
      <c r="A430" s="28" t="s">
        <v>280</v>
      </c>
      <c r="B430" s="29" t="s">
        <v>227</v>
      </c>
      <c r="C430" s="29" t="s">
        <v>276</v>
      </c>
      <c r="D430" s="29" t="s">
        <v>281</v>
      </c>
      <c r="E430" s="29"/>
      <c r="F430" s="30">
        <f>22407.31003+1611.6</f>
        <v>24018.910029999999</v>
      </c>
      <c r="G430" s="15">
        <f t="shared" si="7"/>
        <v>67.349369999999908</v>
      </c>
      <c r="H430" s="31">
        <v>24086.259399999999</v>
      </c>
      <c r="I430" s="31">
        <v>23346.400000000001</v>
      </c>
      <c r="J430" s="32">
        <v>24471.54</v>
      </c>
    </row>
    <row r="431" spans="1:10" ht="38.25">
      <c r="A431" s="33" t="s">
        <v>282</v>
      </c>
      <c r="B431" s="34" t="s">
        <v>227</v>
      </c>
      <c r="C431" s="34" t="s">
        <v>276</v>
      </c>
      <c r="D431" s="34" t="s">
        <v>283</v>
      </c>
      <c r="E431" s="34"/>
      <c r="F431" s="30">
        <f>4667.40298+287.3</f>
        <v>4954.70298</v>
      </c>
      <c r="G431" s="15">
        <f t="shared" si="7"/>
        <v>114.29546000000028</v>
      </c>
      <c r="H431" s="31">
        <v>5068.9984400000003</v>
      </c>
      <c r="I431" s="31">
        <v>5141.1000000000004</v>
      </c>
      <c r="J431" s="32">
        <v>5321.8</v>
      </c>
    </row>
    <row r="432" spans="1:10" ht="76.5">
      <c r="A432" s="35" t="s">
        <v>284</v>
      </c>
      <c r="B432" s="39" t="s">
        <v>227</v>
      </c>
      <c r="C432" s="39" t="s">
        <v>276</v>
      </c>
      <c r="D432" s="39" t="s">
        <v>285</v>
      </c>
      <c r="E432" s="39"/>
      <c r="F432" s="30">
        <f>4667.40298+287.3</f>
        <v>4954.70298</v>
      </c>
      <c r="G432" s="15">
        <f t="shared" si="7"/>
        <v>114.29546000000028</v>
      </c>
      <c r="H432" s="31">
        <v>5068.9984400000003</v>
      </c>
      <c r="I432" s="31">
        <v>5141.1000000000004</v>
      </c>
      <c r="J432" s="32">
        <v>5321.8</v>
      </c>
    </row>
    <row r="433" spans="1:10" ht="127.5">
      <c r="A433" s="37" t="s">
        <v>472</v>
      </c>
      <c r="B433" s="40" t="s">
        <v>227</v>
      </c>
      <c r="C433" s="40" t="s">
        <v>276</v>
      </c>
      <c r="D433" s="40" t="s">
        <v>285</v>
      </c>
      <c r="E433" s="40" t="s">
        <v>28</v>
      </c>
      <c r="F433" s="30">
        <v>4292.6000000000004</v>
      </c>
      <c r="G433" s="15">
        <f t="shared" si="7"/>
        <v>294.38508999999976</v>
      </c>
      <c r="H433" s="31">
        <v>4586.9850900000001</v>
      </c>
      <c r="I433" s="31">
        <v>4464.5</v>
      </c>
      <c r="J433" s="32">
        <v>4642.8999999999996</v>
      </c>
    </row>
    <row r="434" spans="1:10" ht="102">
      <c r="A434" s="37" t="s">
        <v>508</v>
      </c>
      <c r="B434" s="40" t="s">
        <v>227</v>
      </c>
      <c r="C434" s="40" t="s">
        <v>276</v>
      </c>
      <c r="D434" s="40" t="s">
        <v>285</v>
      </c>
      <c r="E434" s="40" t="s">
        <v>34</v>
      </c>
      <c r="F434" s="30">
        <v>374.80297999999999</v>
      </c>
      <c r="G434" s="15">
        <f t="shared" si="7"/>
        <v>107.21037000000001</v>
      </c>
      <c r="H434" s="31">
        <v>482.01335</v>
      </c>
      <c r="I434" s="31">
        <v>676.6</v>
      </c>
      <c r="J434" s="32">
        <v>678.9</v>
      </c>
    </row>
    <row r="435" spans="1:10" ht="51">
      <c r="A435" s="33" t="s">
        <v>286</v>
      </c>
      <c r="B435" s="34" t="s">
        <v>227</v>
      </c>
      <c r="C435" s="34" t="s">
        <v>276</v>
      </c>
      <c r="D435" s="34" t="s">
        <v>287</v>
      </c>
      <c r="E435" s="34"/>
      <c r="F435" s="41">
        <f>17739.90705+1324.3</f>
        <v>19064.207050000001</v>
      </c>
      <c r="G435" s="15">
        <f t="shared" si="7"/>
        <v>-46.946090000001277</v>
      </c>
      <c r="H435" s="31">
        <v>19017.26096</v>
      </c>
      <c r="I435" s="31">
        <v>18205.3</v>
      </c>
      <c r="J435" s="32">
        <v>19149.740000000002</v>
      </c>
    </row>
    <row r="436" spans="1:10" ht="63.75">
      <c r="A436" s="35" t="s">
        <v>627</v>
      </c>
      <c r="B436" s="36" t="s">
        <v>227</v>
      </c>
      <c r="C436" s="36" t="s">
        <v>276</v>
      </c>
      <c r="D436" s="36" t="s">
        <v>643</v>
      </c>
      <c r="E436" s="36"/>
      <c r="F436" s="30">
        <v>125.97533</v>
      </c>
      <c r="G436" s="15">
        <f t="shared" si="7"/>
        <v>0</v>
      </c>
      <c r="H436" s="31">
        <v>125.97533</v>
      </c>
      <c r="I436" s="31">
        <v>0</v>
      </c>
      <c r="J436" s="32">
        <v>0</v>
      </c>
    </row>
    <row r="437" spans="1:10" ht="114.75">
      <c r="A437" s="37" t="s">
        <v>680</v>
      </c>
      <c r="B437" s="38" t="s">
        <v>227</v>
      </c>
      <c r="C437" s="38" t="s">
        <v>276</v>
      </c>
      <c r="D437" s="38" t="s">
        <v>643</v>
      </c>
      <c r="E437" s="38" t="s">
        <v>28</v>
      </c>
      <c r="F437" s="30">
        <v>125.97533</v>
      </c>
      <c r="G437" s="15">
        <f t="shared" si="7"/>
        <v>0</v>
      </c>
      <c r="H437" s="31">
        <v>125.97533</v>
      </c>
      <c r="I437" s="31">
        <v>0</v>
      </c>
      <c r="J437" s="32">
        <v>0</v>
      </c>
    </row>
    <row r="438" spans="1:10">
      <c r="A438" s="79" t="s">
        <v>601</v>
      </c>
      <c r="B438" s="43" t="s">
        <v>227</v>
      </c>
      <c r="C438" s="43" t="s">
        <v>276</v>
      </c>
      <c r="D438" s="43" t="s">
        <v>696</v>
      </c>
      <c r="E438" s="43"/>
      <c r="F438" s="30">
        <v>0</v>
      </c>
      <c r="G438" s="15">
        <f t="shared" si="7"/>
        <v>64.029499999999999</v>
      </c>
      <c r="H438" s="31">
        <v>64.029499999999999</v>
      </c>
      <c r="I438" s="31">
        <v>0</v>
      </c>
      <c r="J438" s="32">
        <v>0</v>
      </c>
    </row>
    <row r="439" spans="1:10" ht="63.75">
      <c r="A439" s="80" t="s">
        <v>704</v>
      </c>
      <c r="B439" s="44" t="s">
        <v>227</v>
      </c>
      <c r="C439" s="44" t="s">
        <v>276</v>
      </c>
      <c r="D439" s="44" t="s">
        <v>696</v>
      </c>
      <c r="E439" s="44" t="s">
        <v>28</v>
      </c>
      <c r="F439" s="30">
        <v>0</v>
      </c>
      <c r="G439" s="15">
        <f t="shared" si="7"/>
        <v>64.029499999999999</v>
      </c>
      <c r="H439" s="31">
        <v>64.029499999999999</v>
      </c>
      <c r="I439" s="31">
        <v>0</v>
      </c>
      <c r="J439" s="32">
        <v>0</v>
      </c>
    </row>
    <row r="440" spans="1:10" ht="63.75">
      <c r="A440" s="35" t="s">
        <v>288</v>
      </c>
      <c r="B440" s="39" t="s">
        <v>227</v>
      </c>
      <c r="C440" s="39" t="s">
        <v>276</v>
      </c>
      <c r="D440" s="39" t="s">
        <v>289</v>
      </c>
      <c r="E440" s="39"/>
      <c r="F440" s="30">
        <f>17613.93172+1324.3</f>
        <v>18938.23172</v>
      </c>
      <c r="G440" s="15">
        <f t="shared" si="7"/>
        <v>-110.97558999999819</v>
      </c>
      <c r="H440" s="31">
        <v>18827.256130000002</v>
      </c>
      <c r="I440" s="31">
        <v>18205.3</v>
      </c>
      <c r="J440" s="32">
        <v>19149.740000000002</v>
      </c>
    </row>
    <row r="441" spans="1:10" ht="114.75">
      <c r="A441" s="37" t="s">
        <v>473</v>
      </c>
      <c r="B441" s="40" t="s">
        <v>227</v>
      </c>
      <c r="C441" s="40" t="s">
        <v>276</v>
      </c>
      <c r="D441" s="40" t="s">
        <v>289</v>
      </c>
      <c r="E441" s="40" t="s">
        <v>28</v>
      </c>
      <c r="F441" s="30">
        <f>15896.523+874.3</f>
        <v>16770.823</v>
      </c>
      <c r="G441" s="15">
        <f t="shared" si="7"/>
        <v>-122.12485000000015</v>
      </c>
      <c r="H441" s="31">
        <v>16648.69815</v>
      </c>
      <c r="I441" s="31">
        <v>16260</v>
      </c>
      <c r="J441" s="32">
        <v>17069.54</v>
      </c>
    </row>
    <row r="442" spans="1:10" ht="76.5">
      <c r="A442" s="37" t="s">
        <v>509</v>
      </c>
      <c r="B442" s="40" t="s">
        <v>227</v>
      </c>
      <c r="C442" s="40" t="s">
        <v>276</v>
      </c>
      <c r="D442" s="40" t="s">
        <v>289</v>
      </c>
      <c r="E442" s="40" t="s">
        <v>34</v>
      </c>
      <c r="F442" s="30">
        <v>1716.55872</v>
      </c>
      <c r="G442" s="15">
        <f t="shared" si="7"/>
        <v>461.14926000000014</v>
      </c>
      <c r="H442" s="31">
        <v>2177.7079800000001</v>
      </c>
      <c r="I442" s="31">
        <v>1945.3</v>
      </c>
      <c r="J442" s="32">
        <v>2080.1999999999998</v>
      </c>
    </row>
    <row r="443" spans="1:10" ht="76.5">
      <c r="A443" s="37" t="s">
        <v>579</v>
      </c>
      <c r="B443" s="40" t="s">
        <v>227</v>
      </c>
      <c r="C443" s="40" t="s">
        <v>276</v>
      </c>
      <c r="D443" s="40" t="s">
        <v>289</v>
      </c>
      <c r="E443" s="40" t="s">
        <v>51</v>
      </c>
      <c r="F443" s="30">
        <v>0.85</v>
      </c>
      <c r="G443" s="15">
        <f t="shared" si="7"/>
        <v>0</v>
      </c>
      <c r="H443" s="31">
        <v>0.85</v>
      </c>
      <c r="I443" s="31">
        <v>0</v>
      </c>
      <c r="J443" s="32">
        <v>0</v>
      </c>
    </row>
    <row r="444" spans="1:10">
      <c r="A444" s="12" t="s">
        <v>290</v>
      </c>
      <c r="B444" s="13" t="s">
        <v>291</v>
      </c>
      <c r="C444" s="13"/>
      <c r="D444" s="13"/>
      <c r="E444" s="13"/>
      <c r="F444" s="70">
        <f>65574.04358+8568</f>
        <v>74142.043579999998</v>
      </c>
      <c r="G444" s="15">
        <f t="shared" si="7"/>
        <v>182.75544000000809</v>
      </c>
      <c r="H444" s="16">
        <v>74324.799020000006</v>
      </c>
      <c r="I444" s="16">
        <v>17292.714960000001</v>
      </c>
      <c r="J444" s="17">
        <v>17521.560519999999</v>
      </c>
    </row>
    <row r="445" spans="1:10">
      <c r="A445" s="18" t="s">
        <v>292</v>
      </c>
      <c r="B445" s="19" t="s">
        <v>291</v>
      </c>
      <c r="C445" s="19" t="s">
        <v>293</v>
      </c>
      <c r="D445" s="19"/>
      <c r="E445" s="19"/>
      <c r="F445" s="20">
        <f>60874.04358+8568</f>
        <v>69442.043579999998</v>
      </c>
      <c r="G445" s="15">
        <f t="shared" si="7"/>
        <v>325.29944000000251</v>
      </c>
      <c r="H445" s="21">
        <v>69767.34302</v>
      </c>
      <c r="I445" s="21">
        <v>17292.714960000001</v>
      </c>
      <c r="J445" s="22">
        <v>17521.560519999999</v>
      </c>
    </row>
    <row r="446" spans="1:10" ht="25.5">
      <c r="A446" s="23" t="s">
        <v>294</v>
      </c>
      <c r="B446" s="24" t="s">
        <v>291</v>
      </c>
      <c r="C446" s="24" t="s">
        <v>293</v>
      </c>
      <c r="D446" s="24" t="s">
        <v>295</v>
      </c>
      <c r="E446" s="24"/>
      <c r="F446" s="25">
        <f>60874.04358+8568</f>
        <v>69442.043579999998</v>
      </c>
      <c r="G446" s="15">
        <f t="shared" si="7"/>
        <v>325.29944000000251</v>
      </c>
      <c r="H446" s="26">
        <v>69767.34302</v>
      </c>
      <c r="I446" s="26">
        <v>17292.714960000001</v>
      </c>
      <c r="J446" s="27">
        <v>17521.560519999999</v>
      </c>
    </row>
    <row r="447" spans="1:10" ht="38.25">
      <c r="A447" s="33" t="s">
        <v>296</v>
      </c>
      <c r="B447" s="34" t="s">
        <v>291</v>
      </c>
      <c r="C447" s="34" t="s">
        <v>293</v>
      </c>
      <c r="D447" s="34" t="s">
        <v>297</v>
      </c>
      <c r="E447" s="34"/>
      <c r="F447" s="30">
        <f>2624.29698+1335.4</f>
        <v>3959.6969800000002</v>
      </c>
      <c r="G447" s="15">
        <f t="shared" si="7"/>
        <v>84.723999999999705</v>
      </c>
      <c r="H447" s="31">
        <v>4044.4209799999999</v>
      </c>
      <c r="I447" s="31">
        <v>1611.9</v>
      </c>
      <c r="J447" s="32">
        <v>200</v>
      </c>
    </row>
    <row r="448" spans="1:10">
      <c r="A448" s="35" t="s">
        <v>601</v>
      </c>
      <c r="B448" s="34" t="s">
        <v>291</v>
      </c>
      <c r="C448" s="34" t="s">
        <v>293</v>
      </c>
      <c r="D448" s="59" t="s">
        <v>621</v>
      </c>
      <c r="E448" s="34"/>
      <c r="F448" s="30">
        <v>50</v>
      </c>
      <c r="G448" s="15">
        <f t="shared" si="7"/>
        <v>0</v>
      </c>
      <c r="H448" s="31">
        <v>50</v>
      </c>
      <c r="I448" s="31">
        <v>0</v>
      </c>
      <c r="J448" s="32">
        <v>0</v>
      </c>
    </row>
    <row r="449" spans="1:10" ht="38.25">
      <c r="A449" s="35" t="s">
        <v>622</v>
      </c>
      <c r="B449" s="34" t="s">
        <v>291</v>
      </c>
      <c r="C449" s="34" t="s">
        <v>293</v>
      </c>
      <c r="D449" s="59" t="s">
        <v>621</v>
      </c>
      <c r="E449" s="59" t="s">
        <v>109</v>
      </c>
      <c r="F449" s="30">
        <v>50</v>
      </c>
      <c r="G449" s="15">
        <f t="shared" si="7"/>
        <v>0</v>
      </c>
      <c r="H449" s="31">
        <v>50</v>
      </c>
      <c r="I449" s="31">
        <v>0</v>
      </c>
      <c r="J449" s="32">
        <v>0</v>
      </c>
    </row>
    <row r="450" spans="1:10" ht="38.25">
      <c r="A450" s="35" t="s">
        <v>389</v>
      </c>
      <c r="B450" s="39" t="s">
        <v>291</v>
      </c>
      <c r="C450" s="39" t="s">
        <v>293</v>
      </c>
      <c r="D450" s="39" t="s">
        <v>386</v>
      </c>
      <c r="E450" s="67"/>
      <c r="F450" s="30">
        <f>1292.5+1335.4</f>
        <v>2627.9</v>
      </c>
      <c r="G450" s="15">
        <f t="shared" si="7"/>
        <v>84.723999999999705</v>
      </c>
      <c r="H450" s="31">
        <v>2712.6239999999998</v>
      </c>
      <c r="I450" s="31">
        <v>500</v>
      </c>
      <c r="J450" s="32">
        <v>200</v>
      </c>
    </row>
    <row r="451" spans="1:10" ht="51">
      <c r="A451" s="37" t="s">
        <v>510</v>
      </c>
      <c r="B451" s="40" t="s">
        <v>291</v>
      </c>
      <c r="C451" s="40" t="s">
        <v>293</v>
      </c>
      <c r="D451" s="40" t="s">
        <v>386</v>
      </c>
      <c r="E451" s="40" t="s">
        <v>34</v>
      </c>
      <c r="F451" s="30">
        <v>92.5</v>
      </c>
      <c r="G451" s="15">
        <f t="shared" si="7"/>
        <v>-4.9999999999997158E-2</v>
      </c>
      <c r="H451" s="31">
        <v>92.45</v>
      </c>
      <c r="I451" s="31">
        <v>0</v>
      </c>
      <c r="J451" s="32">
        <v>0</v>
      </c>
    </row>
    <row r="452" spans="1:10" ht="63.75">
      <c r="A452" s="37" t="s">
        <v>563</v>
      </c>
      <c r="B452" s="40" t="s">
        <v>291</v>
      </c>
      <c r="C452" s="40" t="s">
        <v>293</v>
      </c>
      <c r="D452" s="40" t="s">
        <v>386</v>
      </c>
      <c r="E452" s="40" t="s">
        <v>109</v>
      </c>
      <c r="F452" s="30">
        <f>1200+1335.4</f>
        <v>2535.4</v>
      </c>
      <c r="G452" s="15">
        <f t="shared" si="7"/>
        <v>84.773999999999887</v>
      </c>
      <c r="H452" s="31">
        <v>2620.174</v>
      </c>
      <c r="I452" s="31">
        <v>500</v>
      </c>
      <c r="J452" s="32">
        <v>200</v>
      </c>
    </row>
    <row r="453" spans="1:10" ht="38.25">
      <c r="A453" s="35" t="s">
        <v>299</v>
      </c>
      <c r="B453" s="39" t="s">
        <v>291</v>
      </c>
      <c r="C453" s="39" t="s">
        <v>293</v>
      </c>
      <c r="D453" s="39" t="s">
        <v>300</v>
      </c>
      <c r="E453" s="39"/>
      <c r="F453" s="30">
        <v>1281.7969800000001</v>
      </c>
      <c r="G453" s="15">
        <f t="shared" si="7"/>
        <v>0</v>
      </c>
      <c r="H453" s="31">
        <v>1281.7969800000001</v>
      </c>
      <c r="I453" s="31">
        <v>1111.9000000000001</v>
      </c>
      <c r="J453" s="32">
        <v>0</v>
      </c>
    </row>
    <row r="454" spans="1:10" ht="38.25">
      <c r="A454" s="37" t="s">
        <v>535</v>
      </c>
      <c r="B454" s="40" t="s">
        <v>291</v>
      </c>
      <c r="C454" s="40" t="s">
        <v>293</v>
      </c>
      <c r="D454" s="40" t="s">
        <v>300</v>
      </c>
      <c r="E454" s="40" t="s">
        <v>48</v>
      </c>
      <c r="F454" s="30">
        <v>1281.7969800000001</v>
      </c>
      <c r="G454" s="15">
        <f t="shared" si="7"/>
        <v>0</v>
      </c>
      <c r="H454" s="31">
        <v>1281.7969800000001</v>
      </c>
      <c r="I454" s="31">
        <v>1111.9000000000001</v>
      </c>
      <c r="J454" s="32">
        <v>0</v>
      </c>
    </row>
    <row r="455" spans="1:10" ht="25.5">
      <c r="A455" s="33" t="s">
        <v>301</v>
      </c>
      <c r="B455" s="34" t="s">
        <v>291</v>
      </c>
      <c r="C455" s="34" t="s">
        <v>293</v>
      </c>
      <c r="D455" s="34" t="s">
        <v>302</v>
      </c>
      <c r="E455" s="34"/>
      <c r="F455" s="30">
        <v>115.14660000000001</v>
      </c>
      <c r="G455" s="15">
        <f t="shared" si="7"/>
        <v>-5.5140000000008627E-2</v>
      </c>
      <c r="H455" s="31">
        <v>115.09146</v>
      </c>
      <c r="I455" s="31">
        <v>115.31496</v>
      </c>
      <c r="J455" s="32">
        <v>118.76052</v>
      </c>
    </row>
    <row r="456" spans="1:10">
      <c r="A456" s="35" t="s">
        <v>303</v>
      </c>
      <c r="B456" s="39" t="s">
        <v>291</v>
      </c>
      <c r="C456" s="39" t="s">
        <v>293</v>
      </c>
      <c r="D456" s="39" t="s">
        <v>304</v>
      </c>
      <c r="E456" s="39"/>
      <c r="F456" s="30">
        <v>115.14660000000001</v>
      </c>
      <c r="G456" s="15">
        <f t="shared" si="7"/>
        <v>-5.5140000000008627E-2</v>
      </c>
      <c r="H456" s="31">
        <v>115.09146</v>
      </c>
      <c r="I456" s="31">
        <v>115.31496</v>
      </c>
      <c r="J456" s="32">
        <v>118.76052</v>
      </c>
    </row>
    <row r="457" spans="1:10" ht="38.25">
      <c r="A457" s="37" t="s">
        <v>678</v>
      </c>
      <c r="B457" s="40" t="s">
        <v>291</v>
      </c>
      <c r="C457" s="40" t="s">
        <v>293</v>
      </c>
      <c r="D457" s="40" t="s">
        <v>304</v>
      </c>
      <c r="E457" s="40" t="s">
        <v>34</v>
      </c>
      <c r="F457" s="30">
        <v>115.14660000000001</v>
      </c>
      <c r="G457" s="15">
        <f t="shared" si="7"/>
        <v>-5.5140000000008627E-2</v>
      </c>
      <c r="H457" s="31">
        <v>115.09146</v>
      </c>
      <c r="I457" s="31">
        <v>115.31496</v>
      </c>
      <c r="J457" s="32">
        <v>118.76052</v>
      </c>
    </row>
    <row r="458" spans="1:10" ht="25.5">
      <c r="A458" s="33" t="s">
        <v>305</v>
      </c>
      <c r="B458" s="34" t="s">
        <v>291</v>
      </c>
      <c r="C458" s="34" t="s">
        <v>293</v>
      </c>
      <c r="D458" s="34" t="s">
        <v>306</v>
      </c>
      <c r="E458" s="34"/>
      <c r="F458" s="30">
        <v>58134.6</v>
      </c>
      <c r="G458" s="15">
        <f t="shared" si="7"/>
        <v>7473.2305799999958</v>
      </c>
      <c r="H458" s="31">
        <v>65607.830579999994</v>
      </c>
      <c r="I458" s="31">
        <v>15565.5</v>
      </c>
      <c r="J458" s="32">
        <v>17202.8</v>
      </c>
    </row>
    <row r="459" spans="1:10" ht="38.25">
      <c r="A459" s="79" t="s">
        <v>709</v>
      </c>
      <c r="B459" s="43" t="s">
        <v>291</v>
      </c>
      <c r="C459" s="43" t="s">
        <v>293</v>
      </c>
      <c r="D459" s="43" t="s">
        <v>661</v>
      </c>
      <c r="E459" s="43"/>
      <c r="F459" s="30">
        <v>0</v>
      </c>
      <c r="G459" s="15">
        <f t="shared" si="7"/>
        <v>240.52708000000001</v>
      </c>
      <c r="H459" s="31">
        <v>240.52708000000001</v>
      </c>
      <c r="I459" s="31">
        <v>0</v>
      </c>
      <c r="J459" s="32">
        <v>0</v>
      </c>
    </row>
    <row r="460" spans="1:10" ht="63.75">
      <c r="A460" s="80" t="s">
        <v>710</v>
      </c>
      <c r="B460" s="44" t="s">
        <v>291</v>
      </c>
      <c r="C460" s="44" t="s">
        <v>293</v>
      </c>
      <c r="D460" s="44" t="s">
        <v>661</v>
      </c>
      <c r="E460" s="44" t="s">
        <v>28</v>
      </c>
      <c r="F460" s="30">
        <v>0</v>
      </c>
      <c r="G460" s="15">
        <f t="shared" si="7"/>
        <v>55.953189999999999</v>
      </c>
      <c r="H460" s="31">
        <v>55.953189999999999</v>
      </c>
      <c r="I460" s="31">
        <v>0</v>
      </c>
      <c r="J460" s="32">
        <v>0</v>
      </c>
    </row>
    <row r="461" spans="1:10" ht="63.75">
      <c r="A461" s="80" t="s">
        <v>710</v>
      </c>
      <c r="B461" s="44" t="s">
        <v>291</v>
      </c>
      <c r="C461" s="44" t="s">
        <v>293</v>
      </c>
      <c r="D461" s="44" t="s">
        <v>661</v>
      </c>
      <c r="E461" s="44" t="s">
        <v>34</v>
      </c>
      <c r="F461" s="30">
        <v>0</v>
      </c>
      <c r="G461" s="15">
        <f t="shared" si="7"/>
        <v>100</v>
      </c>
      <c r="H461" s="31">
        <v>100</v>
      </c>
      <c r="I461" s="31">
        <v>0</v>
      </c>
      <c r="J461" s="32">
        <v>0</v>
      </c>
    </row>
    <row r="462" spans="1:10" ht="63.75">
      <c r="A462" s="80" t="s">
        <v>711</v>
      </c>
      <c r="B462" s="44" t="s">
        <v>291</v>
      </c>
      <c r="C462" s="44" t="s">
        <v>293</v>
      </c>
      <c r="D462" s="44" t="s">
        <v>661</v>
      </c>
      <c r="E462" s="44" t="s">
        <v>109</v>
      </c>
      <c r="F462" s="30">
        <v>0</v>
      </c>
      <c r="G462" s="15">
        <f t="shared" si="7"/>
        <v>84.573890000000006</v>
      </c>
      <c r="H462" s="31">
        <v>84.573890000000006</v>
      </c>
      <c r="I462" s="31">
        <v>0</v>
      </c>
      <c r="J462" s="32">
        <v>0</v>
      </c>
    </row>
    <row r="463" spans="1:10" ht="63.75">
      <c r="A463" s="35" t="s">
        <v>624</v>
      </c>
      <c r="B463" s="34" t="s">
        <v>291</v>
      </c>
      <c r="C463" s="34" t="s">
        <v>293</v>
      </c>
      <c r="D463" s="59" t="s">
        <v>623</v>
      </c>
      <c r="E463" s="34"/>
      <c r="F463" s="30">
        <v>750</v>
      </c>
      <c r="G463" s="15">
        <f t="shared" si="7"/>
        <v>0</v>
      </c>
      <c r="H463" s="31">
        <v>750</v>
      </c>
      <c r="I463" s="31">
        <v>0</v>
      </c>
      <c r="J463" s="32">
        <v>0</v>
      </c>
    </row>
    <row r="464" spans="1:10" ht="76.5">
      <c r="A464" s="35" t="s">
        <v>625</v>
      </c>
      <c r="B464" s="34" t="s">
        <v>291</v>
      </c>
      <c r="C464" s="34" t="s">
        <v>293</v>
      </c>
      <c r="D464" s="59" t="s">
        <v>623</v>
      </c>
      <c r="E464" s="59" t="s">
        <v>34</v>
      </c>
      <c r="F464" s="30">
        <v>750</v>
      </c>
      <c r="G464" s="15">
        <f t="shared" si="7"/>
        <v>0</v>
      </c>
      <c r="H464" s="31">
        <v>750</v>
      </c>
      <c r="I464" s="31">
        <v>0</v>
      </c>
      <c r="J464" s="32">
        <v>0</v>
      </c>
    </row>
    <row r="465" spans="1:10" ht="51">
      <c r="A465" s="35" t="s">
        <v>307</v>
      </c>
      <c r="B465" s="39" t="s">
        <v>291</v>
      </c>
      <c r="C465" s="39" t="s">
        <v>293</v>
      </c>
      <c r="D465" s="39" t="s">
        <v>308</v>
      </c>
      <c r="E465" s="39"/>
      <c r="F465" s="30">
        <f>57384.6+7232.6</f>
        <v>64617.2</v>
      </c>
      <c r="G465" s="15">
        <f t="shared" si="7"/>
        <v>0.10350000000471482</v>
      </c>
      <c r="H465" s="31">
        <v>64617.303500000002</v>
      </c>
      <c r="I465" s="31">
        <v>15565.5</v>
      </c>
      <c r="J465" s="32">
        <v>17202.8</v>
      </c>
    </row>
    <row r="466" spans="1:10" ht="102">
      <c r="A466" s="37" t="s">
        <v>474</v>
      </c>
      <c r="B466" s="40" t="s">
        <v>291</v>
      </c>
      <c r="C466" s="40" t="s">
        <v>293</v>
      </c>
      <c r="D466" s="40" t="s">
        <v>308</v>
      </c>
      <c r="E466" s="40" t="s">
        <v>28</v>
      </c>
      <c r="F466" s="41">
        <f>12050.8+1190.4</f>
        <v>13241.199999999999</v>
      </c>
      <c r="G466" s="15">
        <f t="shared" si="7"/>
        <v>-1.999999999998181</v>
      </c>
      <c r="H466" s="31">
        <v>13239.2</v>
      </c>
      <c r="I466" s="31">
        <v>13800.1</v>
      </c>
      <c r="J466" s="32">
        <v>14972.9</v>
      </c>
    </row>
    <row r="467" spans="1:10" ht="63.75">
      <c r="A467" s="37" t="s">
        <v>511</v>
      </c>
      <c r="B467" s="40" t="s">
        <v>291</v>
      </c>
      <c r="C467" s="40" t="s">
        <v>293</v>
      </c>
      <c r="D467" s="40" t="s">
        <v>308</v>
      </c>
      <c r="E467" s="40" t="s">
        <v>34</v>
      </c>
      <c r="F467" s="41">
        <f>568.7+2095</f>
        <v>2663.7</v>
      </c>
      <c r="G467" s="15">
        <f t="shared" si="7"/>
        <v>2.1035000000001673</v>
      </c>
      <c r="H467" s="31">
        <v>2665.8035</v>
      </c>
      <c r="I467" s="31">
        <v>579.5</v>
      </c>
      <c r="J467" s="32">
        <v>779.6</v>
      </c>
    </row>
    <row r="468" spans="1:10" ht="76.5">
      <c r="A468" s="37" t="s">
        <v>564</v>
      </c>
      <c r="B468" s="40" t="s">
        <v>291</v>
      </c>
      <c r="C468" s="40" t="s">
        <v>293</v>
      </c>
      <c r="D468" s="40" t="s">
        <v>308</v>
      </c>
      <c r="E468" s="40" t="s">
        <v>109</v>
      </c>
      <c r="F468" s="30">
        <f>44765.1+3947.2</f>
        <v>48712.299999999996</v>
      </c>
      <c r="G468" s="15">
        <f t="shared" si="7"/>
        <v>7.2759576141834259E-12</v>
      </c>
      <c r="H468" s="31">
        <v>48712.3</v>
      </c>
      <c r="I468" s="31">
        <v>1185.9000000000001</v>
      </c>
      <c r="J468" s="32">
        <v>1450.3</v>
      </c>
    </row>
    <row r="469" spans="1:10">
      <c r="A469" s="18" t="s">
        <v>309</v>
      </c>
      <c r="B469" s="19" t="s">
        <v>291</v>
      </c>
      <c r="C469" s="19" t="s">
        <v>310</v>
      </c>
      <c r="D469" s="19" t="s">
        <v>310</v>
      </c>
      <c r="E469" s="19"/>
      <c r="F469" s="20">
        <v>4700</v>
      </c>
      <c r="G469" s="15">
        <f t="shared" si="7"/>
        <v>-142.54399999999987</v>
      </c>
      <c r="H469" s="21">
        <v>4557.4560000000001</v>
      </c>
      <c r="I469" s="21">
        <v>0</v>
      </c>
      <c r="J469" s="22">
        <v>0</v>
      </c>
    </row>
    <row r="470" spans="1:10" ht="25.5">
      <c r="A470" s="23" t="s">
        <v>294</v>
      </c>
      <c r="B470" s="24" t="s">
        <v>291</v>
      </c>
      <c r="C470" s="24" t="s">
        <v>310</v>
      </c>
      <c r="D470" s="24" t="s">
        <v>295</v>
      </c>
      <c r="E470" s="24"/>
      <c r="F470" s="25">
        <v>4700</v>
      </c>
      <c r="G470" s="15">
        <f t="shared" si="7"/>
        <v>-142.54399999999987</v>
      </c>
      <c r="H470" s="26">
        <v>4557.4560000000001</v>
      </c>
      <c r="I470" s="26">
        <v>0</v>
      </c>
      <c r="J470" s="27">
        <v>0</v>
      </c>
    </row>
    <row r="471" spans="1:10" ht="38.25">
      <c r="A471" s="33" t="s">
        <v>296</v>
      </c>
      <c r="B471" s="34" t="s">
        <v>291</v>
      </c>
      <c r="C471" s="34" t="s">
        <v>310</v>
      </c>
      <c r="D471" s="34" t="s">
        <v>297</v>
      </c>
      <c r="E471" s="34"/>
      <c r="F471" s="30">
        <v>4700</v>
      </c>
      <c r="G471" s="15">
        <f t="shared" si="7"/>
        <v>-142.54399999999987</v>
      </c>
      <c r="H471" s="31">
        <v>4557.4560000000001</v>
      </c>
      <c r="I471" s="31">
        <v>0</v>
      </c>
      <c r="J471" s="32">
        <v>0</v>
      </c>
    </row>
    <row r="472" spans="1:10">
      <c r="A472" s="35" t="s">
        <v>430</v>
      </c>
      <c r="B472" s="39" t="s">
        <v>291</v>
      </c>
      <c r="C472" s="39" t="s">
        <v>310</v>
      </c>
      <c r="D472" s="39" t="s">
        <v>393</v>
      </c>
      <c r="E472" s="39"/>
      <c r="F472" s="30">
        <v>4700</v>
      </c>
      <c r="G472" s="15">
        <f t="shared" si="7"/>
        <v>-142.54399999999987</v>
      </c>
      <c r="H472" s="31">
        <v>4557.4560000000001</v>
      </c>
      <c r="I472" s="31">
        <v>0</v>
      </c>
      <c r="J472" s="32">
        <v>0</v>
      </c>
    </row>
    <row r="473" spans="1:10" ht="25.5">
      <c r="A473" s="37" t="s">
        <v>536</v>
      </c>
      <c r="B473" s="40" t="s">
        <v>291</v>
      </c>
      <c r="C473" s="40" t="s">
        <v>310</v>
      </c>
      <c r="D473" s="40" t="s">
        <v>393</v>
      </c>
      <c r="E473" s="40" t="s">
        <v>48</v>
      </c>
      <c r="F473" s="30">
        <v>4700</v>
      </c>
      <c r="G473" s="15">
        <f t="shared" si="7"/>
        <v>-142.54399999999987</v>
      </c>
      <c r="H473" s="31">
        <v>4557.4560000000001</v>
      </c>
      <c r="I473" s="31">
        <v>0</v>
      </c>
      <c r="J473" s="32">
        <v>0</v>
      </c>
    </row>
    <row r="474" spans="1:10">
      <c r="A474" s="12" t="s">
        <v>311</v>
      </c>
      <c r="B474" s="13" t="s">
        <v>312</v>
      </c>
      <c r="C474" s="13"/>
      <c r="D474" s="13"/>
      <c r="E474" s="13"/>
      <c r="F474" s="14">
        <f>28870.467+234.5</f>
        <v>29104.967000000001</v>
      </c>
      <c r="G474" s="15">
        <f t="shared" si="7"/>
        <v>-1632.9582300000002</v>
      </c>
      <c r="H474" s="16">
        <v>27472.00877</v>
      </c>
      <c r="I474" s="16">
        <v>25269.561669999999</v>
      </c>
      <c r="J474" s="17">
        <v>23031.500550000001</v>
      </c>
    </row>
    <row r="475" spans="1:10">
      <c r="A475" s="18" t="s">
        <v>313</v>
      </c>
      <c r="B475" s="19" t="s">
        <v>312</v>
      </c>
      <c r="C475" s="19" t="s">
        <v>314</v>
      </c>
      <c r="D475" s="19"/>
      <c r="E475" s="19"/>
      <c r="F475" s="20">
        <v>7776</v>
      </c>
      <c r="G475" s="15">
        <f t="shared" si="7"/>
        <v>-1392.2160700000004</v>
      </c>
      <c r="H475" s="21">
        <v>6383.7839299999996</v>
      </c>
      <c r="I475" s="21">
        <v>6157.6</v>
      </c>
      <c r="J475" s="22">
        <v>6020</v>
      </c>
    </row>
    <row r="476" spans="1:10" ht="25.5">
      <c r="A476" s="23" t="s">
        <v>54</v>
      </c>
      <c r="B476" s="24" t="s">
        <v>312</v>
      </c>
      <c r="C476" s="24" t="s">
        <v>314</v>
      </c>
      <c r="D476" s="24" t="s">
        <v>55</v>
      </c>
      <c r="E476" s="24"/>
      <c r="F476" s="25">
        <v>7776</v>
      </c>
      <c r="G476" s="15">
        <f t="shared" si="7"/>
        <v>-1392.2160700000004</v>
      </c>
      <c r="H476" s="26">
        <v>6383.7839299999996</v>
      </c>
      <c r="I476" s="26">
        <v>6157.6</v>
      </c>
      <c r="J476" s="27">
        <v>6020</v>
      </c>
    </row>
    <row r="477" spans="1:10" ht="63.75">
      <c r="A477" s="28" t="s">
        <v>315</v>
      </c>
      <c r="B477" s="29" t="s">
        <v>312</v>
      </c>
      <c r="C477" s="29" t="s">
        <v>314</v>
      </c>
      <c r="D477" s="29" t="s">
        <v>316</v>
      </c>
      <c r="E477" s="29"/>
      <c r="F477" s="30">
        <v>7776</v>
      </c>
      <c r="G477" s="15">
        <f t="shared" si="7"/>
        <v>-1392.2160700000004</v>
      </c>
      <c r="H477" s="31">
        <v>6383.7839299999996</v>
      </c>
      <c r="I477" s="31">
        <v>6157.6</v>
      </c>
      <c r="J477" s="32">
        <v>6020</v>
      </c>
    </row>
    <row r="478" spans="1:10" ht="63.75">
      <c r="A478" s="33" t="s">
        <v>317</v>
      </c>
      <c r="B478" s="34" t="s">
        <v>312</v>
      </c>
      <c r="C478" s="34" t="s">
        <v>314</v>
      </c>
      <c r="D478" s="34" t="s">
        <v>318</v>
      </c>
      <c r="E478" s="34"/>
      <c r="F478" s="30">
        <v>7776</v>
      </c>
      <c r="G478" s="15">
        <f t="shared" si="7"/>
        <v>-1392.2160700000004</v>
      </c>
      <c r="H478" s="31">
        <v>6383.7839299999996</v>
      </c>
      <c r="I478" s="31">
        <v>6157.6</v>
      </c>
      <c r="J478" s="32">
        <v>6020</v>
      </c>
    </row>
    <row r="479" spans="1:10" ht="89.25">
      <c r="A479" s="35" t="s">
        <v>319</v>
      </c>
      <c r="B479" s="39" t="s">
        <v>312</v>
      </c>
      <c r="C479" s="39" t="s">
        <v>314</v>
      </c>
      <c r="D479" s="39" t="s">
        <v>320</v>
      </c>
      <c r="E479" s="39"/>
      <c r="F479" s="30">
        <v>7776</v>
      </c>
      <c r="G479" s="15">
        <f t="shared" si="7"/>
        <v>-1392.2160700000004</v>
      </c>
      <c r="H479" s="31">
        <v>6383.7839299999996</v>
      </c>
      <c r="I479" s="31">
        <v>6157.6</v>
      </c>
      <c r="J479" s="32">
        <v>6020</v>
      </c>
    </row>
    <row r="480" spans="1:10" ht="114.75">
      <c r="A480" s="37" t="s">
        <v>518</v>
      </c>
      <c r="B480" s="40" t="s">
        <v>312</v>
      </c>
      <c r="C480" s="40" t="s">
        <v>314</v>
      </c>
      <c r="D480" s="40" t="s">
        <v>320</v>
      </c>
      <c r="E480" s="40" t="s">
        <v>50</v>
      </c>
      <c r="F480" s="30">
        <v>7776</v>
      </c>
      <c r="G480" s="15">
        <f t="shared" si="7"/>
        <v>-1392.2160700000004</v>
      </c>
      <c r="H480" s="31">
        <v>6383.7839299999996</v>
      </c>
      <c r="I480" s="31">
        <v>6157.6</v>
      </c>
      <c r="J480" s="32">
        <v>6020</v>
      </c>
    </row>
    <row r="481" spans="1:10">
      <c r="A481" s="18" t="s">
        <v>321</v>
      </c>
      <c r="B481" s="19" t="s">
        <v>312</v>
      </c>
      <c r="C481" s="19" t="s">
        <v>322</v>
      </c>
      <c r="D481" s="19" t="s">
        <v>322</v>
      </c>
      <c r="E481" s="19"/>
      <c r="F481" s="20">
        <v>595</v>
      </c>
      <c r="G481" s="15">
        <f t="shared" si="7"/>
        <v>-376.72</v>
      </c>
      <c r="H481" s="21">
        <v>218.28</v>
      </c>
      <c r="I481" s="21">
        <v>2591</v>
      </c>
      <c r="J481" s="22">
        <v>0</v>
      </c>
    </row>
    <row r="482" spans="1:10" ht="25.5">
      <c r="A482" s="23" t="s">
        <v>54</v>
      </c>
      <c r="B482" s="24" t="s">
        <v>312</v>
      </c>
      <c r="C482" s="24" t="s">
        <v>322</v>
      </c>
      <c r="D482" s="24" t="s">
        <v>55</v>
      </c>
      <c r="E482" s="24"/>
      <c r="F482" s="25">
        <v>525</v>
      </c>
      <c r="G482" s="15">
        <f t="shared" si="7"/>
        <v>-396.72</v>
      </c>
      <c r="H482" s="26">
        <v>128.28</v>
      </c>
      <c r="I482" s="26">
        <v>0</v>
      </c>
      <c r="J482" s="27">
        <v>0</v>
      </c>
    </row>
    <row r="483" spans="1:10" ht="63.75">
      <c r="A483" s="28" t="s">
        <v>315</v>
      </c>
      <c r="B483" s="29" t="s">
        <v>312</v>
      </c>
      <c r="C483" s="29" t="s">
        <v>322</v>
      </c>
      <c r="D483" s="29" t="s">
        <v>316</v>
      </c>
      <c r="E483" s="29"/>
      <c r="F483" s="30">
        <v>525</v>
      </c>
      <c r="G483" s="15">
        <f t="shared" si="7"/>
        <v>-396.72</v>
      </c>
      <c r="H483" s="31">
        <v>128.28</v>
      </c>
      <c r="I483" s="31">
        <v>0</v>
      </c>
      <c r="J483" s="32">
        <v>0</v>
      </c>
    </row>
    <row r="484" spans="1:10" ht="63.75">
      <c r="A484" s="33" t="s">
        <v>317</v>
      </c>
      <c r="B484" s="34" t="s">
        <v>312</v>
      </c>
      <c r="C484" s="34" t="s">
        <v>322</v>
      </c>
      <c r="D484" s="34" t="s">
        <v>318</v>
      </c>
      <c r="E484" s="34"/>
      <c r="F484" s="30">
        <v>525</v>
      </c>
      <c r="G484" s="15">
        <f t="shared" si="7"/>
        <v>-396.72</v>
      </c>
      <c r="H484" s="31">
        <v>128.28</v>
      </c>
      <c r="I484" s="31">
        <v>0</v>
      </c>
      <c r="J484" s="32">
        <v>0</v>
      </c>
    </row>
    <row r="485" spans="1:10" ht="102">
      <c r="A485" s="35" t="s">
        <v>323</v>
      </c>
      <c r="B485" s="39" t="s">
        <v>312</v>
      </c>
      <c r="C485" s="39" t="s">
        <v>322</v>
      </c>
      <c r="D485" s="39" t="s">
        <v>324</v>
      </c>
      <c r="E485" s="39"/>
      <c r="F485" s="30">
        <v>525</v>
      </c>
      <c r="G485" s="15">
        <f t="shared" si="7"/>
        <v>-396.72</v>
      </c>
      <c r="H485" s="31">
        <v>128.28</v>
      </c>
      <c r="I485" s="31">
        <v>0</v>
      </c>
      <c r="J485" s="32">
        <v>0</v>
      </c>
    </row>
    <row r="486" spans="1:10" ht="127.5">
      <c r="A486" s="37" t="s">
        <v>519</v>
      </c>
      <c r="B486" s="40" t="s">
        <v>312</v>
      </c>
      <c r="C486" s="40" t="s">
        <v>322</v>
      </c>
      <c r="D486" s="40" t="s">
        <v>324</v>
      </c>
      <c r="E486" s="40" t="s">
        <v>50</v>
      </c>
      <c r="F486" s="30">
        <v>525</v>
      </c>
      <c r="G486" s="15">
        <f t="shared" si="7"/>
        <v>-396.72</v>
      </c>
      <c r="H486" s="31">
        <v>128.28</v>
      </c>
      <c r="I486" s="31">
        <v>0</v>
      </c>
      <c r="J486" s="32">
        <v>0</v>
      </c>
    </row>
    <row r="487" spans="1:10" ht="51">
      <c r="A487" s="23" t="s">
        <v>98</v>
      </c>
      <c r="B487" s="24" t="s">
        <v>312</v>
      </c>
      <c r="C487" s="24" t="s">
        <v>322</v>
      </c>
      <c r="D487" s="24" t="s">
        <v>99</v>
      </c>
      <c r="E487" s="24"/>
      <c r="F487" s="25">
        <v>0</v>
      </c>
      <c r="G487" s="15">
        <f t="shared" si="7"/>
        <v>0</v>
      </c>
      <c r="H487" s="26">
        <v>0</v>
      </c>
      <c r="I487" s="26">
        <v>2591</v>
      </c>
      <c r="J487" s="27">
        <v>0</v>
      </c>
    </row>
    <row r="488" spans="1:10" ht="25.5">
      <c r="A488" s="28" t="s">
        <v>213</v>
      </c>
      <c r="B488" s="29" t="s">
        <v>312</v>
      </c>
      <c r="C488" s="29" t="s">
        <v>322</v>
      </c>
      <c r="D488" s="29" t="s">
        <v>214</v>
      </c>
      <c r="E488" s="29"/>
      <c r="F488" s="30">
        <v>0</v>
      </c>
      <c r="G488" s="15">
        <f t="shared" si="7"/>
        <v>0</v>
      </c>
      <c r="H488" s="31">
        <v>0</v>
      </c>
      <c r="I488" s="31">
        <v>2591</v>
      </c>
      <c r="J488" s="32">
        <v>0</v>
      </c>
    </row>
    <row r="489" spans="1:10" ht="51">
      <c r="A489" s="33" t="s">
        <v>325</v>
      </c>
      <c r="B489" s="34" t="s">
        <v>312</v>
      </c>
      <c r="C489" s="34" t="s">
        <v>322</v>
      </c>
      <c r="D489" s="34" t="s">
        <v>326</v>
      </c>
      <c r="E489" s="34"/>
      <c r="F489" s="30">
        <v>0</v>
      </c>
      <c r="G489" s="15">
        <f t="shared" si="7"/>
        <v>0</v>
      </c>
      <c r="H489" s="31">
        <v>0</v>
      </c>
      <c r="I489" s="31">
        <v>2591</v>
      </c>
      <c r="J489" s="32">
        <v>0</v>
      </c>
    </row>
    <row r="490" spans="1:10" ht="76.5">
      <c r="A490" s="35" t="s">
        <v>327</v>
      </c>
      <c r="B490" s="39" t="s">
        <v>312</v>
      </c>
      <c r="C490" s="39" t="s">
        <v>322</v>
      </c>
      <c r="D490" s="39" t="s">
        <v>328</v>
      </c>
      <c r="E490" s="39"/>
      <c r="F490" s="30">
        <v>0</v>
      </c>
      <c r="G490" s="15">
        <f t="shared" si="7"/>
        <v>0</v>
      </c>
      <c r="H490" s="31">
        <v>0</v>
      </c>
      <c r="I490" s="31">
        <v>2591</v>
      </c>
      <c r="J490" s="32">
        <v>0</v>
      </c>
    </row>
    <row r="491" spans="1:10" ht="89.25">
      <c r="A491" s="37" t="s">
        <v>520</v>
      </c>
      <c r="B491" s="40" t="s">
        <v>312</v>
      </c>
      <c r="C491" s="40" t="s">
        <v>322</v>
      </c>
      <c r="D491" s="40" t="s">
        <v>328</v>
      </c>
      <c r="E491" s="40" t="s">
        <v>50</v>
      </c>
      <c r="F491" s="30">
        <v>0</v>
      </c>
      <c r="G491" s="15">
        <f t="shared" si="7"/>
        <v>0</v>
      </c>
      <c r="H491" s="31">
        <v>0</v>
      </c>
      <c r="I491" s="31">
        <v>2591</v>
      </c>
      <c r="J491" s="32">
        <v>0</v>
      </c>
    </row>
    <row r="492" spans="1:10" ht="51">
      <c r="A492" s="23" t="s">
        <v>66</v>
      </c>
      <c r="B492" s="24" t="s">
        <v>312</v>
      </c>
      <c r="C492" s="24" t="s">
        <v>322</v>
      </c>
      <c r="D492" s="24" t="s">
        <v>67</v>
      </c>
      <c r="E492" s="24"/>
      <c r="F492" s="25">
        <v>70</v>
      </c>
      <c r="G492" s="15">
        <f t="shared" si="7"/>
        <v>20</v>
      </c>
      <c r="H492" s="26">
        <v>90</v>
      </c>
      <c r="I492" s="26">
        <v>0</v>
      </c>
      <c r="J492" s="27">
        <v>0</v>
      </c>
    </row>
    <row r="493" spans="1:10" ht="25.5">
      <c r="A493" s="33" t="s">
        <v>68</v>
      </c>
      <c r="B493" s="34" t="s">
        <v>312</v>
      </c>
      <c r="C493" s="34" t="s">
        <v>322</v>
      </c>
      <c r="D493" s="34" t="s">
        <v>69</v>
      </c>
      <c r="E493" s="34"/>
      <c r="F493" s="30">
        <v>70</v>
      </c>
      <c r="G493" s="15">
        <f t="shared" si="7"/>
        <v>20</v>
      </c>
      <c r="H493" s="31">
        <v>90</v>
      </c>
      <c r="I493" s="31">
        <v>0</v>
      </c>
      <c r="J493" s="32">
        <v>0</v>
      </c>
    </row>
    <row r="494" spans="1:10" ht="63.75">
      <c r="A494" s="35" t="s">
        <v>70</v>
      </c>
      <c r="B494" s="39" t="s">
        <v>312</v>
      </c>
      <c r="C494" s="39" t="s">
        <v>322</v>
      </c>
      <c r="D494" s="39" t="s">
        <v>71</v>
      </c>
      <c r="E494" s="39"/>
      <c r="F494" s="30">
        <v>70</v>
      </c>
      <c r="G494" s="15">
        <f t="shared" si="7"/>
        <v>20</v>
      </c>
      <c r="H494" s="31">
        <v>90</v>
      </c>
      <c r="I494" s="31">
        <v>0</v>
      </c>
      <c r="J494" s="32">
        <v>0</v>
      </c>
    </row>
    <row r="495" spans="1:10" ht="76.5">
      <c r="A495" s="37" t="s">
        <v>521</v>
      </c>
      <c r="B495" s="40" t="s">
        <v>312</v>
      </c>
      <c r="C495" s="40" t="s">
        <v>322</v>
      </c>
      <c r="D495" s="40" t="s">
        <v>71</v>
      </c>
      <c r="E495" s="40" t="s">
        <v>50</v>
      </c>
      <c r="F495" s="30">
        <v>70</v>
      </c>
      <c r="G495" s="15">
        <f t="shared" ref="G495:G558" si="8">SUM(H495-F495)</f>
        <v>20</v>
      </c>
      <c r="H495" s="31">
        <v>90</v>
      </c>
      <c r="I495" s="31">
        <v>0</v>
      </c>
      <c r="J495" s="32">
        <v>0</v>
      </c>
    </row>
    <row r="496" spans="1:10">
      <c r="A496" s="18" t="s">
        <v>329</v>
      </c>
      <c r="B496" s="19" t="s">
        <v>312</v>
      </c>
      <c r="C496" s="19" t="s">
        <v>330</v>
      </c>
      <c r="D496" s="19"/>
      <c r="E496" s="19"/>
      <c r="F496" s="20">
        <v>15235.9</v>
      </c>
      <c r="G496" s="15">
        <f t="shared" si="8"/>
        <v>-439</v>
      </c>
      <c r="H496" s="21">
        <v>14796.9</v>
      </c>
      <c r="I496" s="21">
        <v>15520.961670000001</v>
      </c>
      <c r="J496" s="22">
        <v>16011.500550000001</v>
      </c>
    </row>
    <row r="497" spans="1:10" ht="38.25">
      <c r="A497" s="23" t="s">
        <v>82</v>
      </c>
      <c r="B497" s="24" t="s">
        <v>312</v>
      </c>
      <c r="C497" s="24" t="s">
        <v>330</v>
      </c>
      <c r="D497" s="24" t="s">
        <v>83</v>
      </c>
      <c r="E497" s="24"/>
      <c r="F497" s="25">
        <v>11200.3</v>
      </c>
      <c r="G497" s="15">
        <f t="shared" si="8"/>
        <v>-439</v>
      </c>
      <c r="H497" s="26">
        <v>10761.3</v>
      </c>
      <c r="I497" s="26">
        <v>11700.3</v>
      </c>
      <c r="J497" s="27">
        <v>12168.4</v>
      </c>
    </row>
    <row r="498" spans="1:10" ht="38.25">
      <c r="A498" s="28" t="s">
        <v>84</v>
      </c>
      <c r="B498" s="29" t="s">
        <v>312</v>
      </c>
      <c r="C498" s="29" t="s">
        <v>330</v>
      </c>
      <c r="D498" s="29" t="s">
        <v>85</v>
      </c>
      <c r="E498" s="29"/>
      <c r="F498" s="30">
        <v>10525</v>
      </c>
      <c r="G498" s="15">
        <f t="shared" si="8"/>
        <v>0</v>
      </c>
      <c r="H498" s="31">
        <v>10525</v>
      </c>
      <c r="I498" s="31">
        <v>10998</v>
      </c>
      <c r="J498" s="32">
        <v>11438</v>
      </c>
    </row>
    <row r="499" spans="1:10" ht="25.5">
      <c r="A499" s="33" t="s">
        <v>331</v>
      </c>
      <c r="B499" s="34" t="s">
        <v>312</v>
      </c>
      <c r="C499" s="34" t="s">
        <v>330</v>
      </c>
      <c r="D499" s="34" t="s">
        <v>332</v>
      </c>
      <c r="E499" s="34"/>
      <c r="F499" s="30">
        <v>10525</v>
      </c>
      <c r="G499" s="15">
        <f t="shared" si="8"/>
        <v>0</v>
      </c>
      <c r="H499" s="31">
        <v>10525</v>
      </c>
      <c r="I499" s="31">
        <v>10998</v>
      </c>
      <c r="J499" s="32">
        <v>11438</v>
      </c>
    </row>
    <row r="500" spans="1:10" ht="89.25">
      <c r="A500" s="35" t="s">
        <v>333</v>
      </c>
      <c r="B500" s="39" t="s">
        <v>312</v>
      </c>
      <c r="C500" s="39" t="s">
        <v>330</v>
      </c>
      <c r="D500" s="39" t="s">
        <v>334</v>
      </c>
      <c r="E500" s="39"/>
      <c r="F500" s="30">
        <v>10525</v>
      </c>
      <c r="G500" s="15">
        <f t="shared" si="8"/>
        <v>0</v>
      </c>
      <c r="H500" s="31">
        <v>10525</v>
      </c>
      <c r="I500" s="31">
        <v>10998</v>
      </c>
      <c r="J500" s="32">
        <v>11438</v>
      </c>
    </row>
    <row r="501" spans="1:10" ht="102">
      <c r="A501" s="37" t="s">
        <v>522</v>
      </c>
      <c r="B501" s="40" t="s">
        <v>312</v>
      </c>
      <c r="C501" s="40" t="s">
        <v>330</v>
      </c>
      <c r="D501" s="40" t="s">
        <v>334</v>
      </c>
      <c r="E501" s="40" t="s">
        <v>50</v>
      </c>
      <c r="F501" s="30">
        <v>3100</v>
      </c>
      <c r="G501" s="15">
        <f t="shared" si="8"/>
        <v>0</v>
      </c>
      <c r="H501" s="31">
        <v>3100</v>
      </c>
      <c r="I501" s="31">
        <v>3350</v>
      </c>
      <c r="J501" s="32">
        <v>3550</v>
      </c>
    </row>
    <row r="502" spans="1:10" ht="102">
      <c r="A502" s="37" t="s">
        <v>522</v>
      </c>
      <c r="B502" s="40" t="s">
        <v>312</v>
      </c>
      <c r="C502" s="40" t="s">
        <v>330</v>
      </c>
      <c r="D502" s="40" t="s">
        <v>335</v>
      </c>
      <c r="E502" s="40" t="s">
        <v>50</v>
      </c>
      <c r="F502" s="30">
        <v>3075</v>
      </c>
      <c r="G502" s="15">
        <f t="shared" si="8"/>
        <v>0</v>
      </c>
      <c r="H502" s="31">
        <v>3075</v>
      </c>
      <c r="I502" s="31">
        <v>3198</v>
      </c>
      <c r="J502" s="32">
        <v>3238</v>
      </c>
    </row>
    <row r="503" spans="1:10" ht="102">
      <c r="A503" s="37" t="s">
        <v>522</v>
      </c>
      <c r="B503" s="40" t="s">
        <v>312</v>
      </c>
      <c r="C503" s="40" t="s">
        <v>330</v>
      </c>
      <c r="D503" s="40" t="s">
        <v>336</v>
      </c>
      <c r="E503" s="40" t="s">
        <v>50</v>
      </c>
      <c r="F503" s="30">
        <v>4350</v>
      </c>
      <c r="G503" s="15">
        <f t="shared" si="8"/>
        <v>0</v>
      </c>
      <c r="H503" s="31">
        <v>4350</v>
      </c>
      <c r="I503" s="31">
        <v>4450</v>
      </c>
      <c r="J503" s="32">
        <v>4650</v>
      </c>
    </row>
    <row r="504" spans="1:10" ht="25.5">
      <c r="A504" s="28" t="s">
        <v>230</v>
      </c>
      <c r="B504" s="29" t="s">
        <v>312</v>
      </c>
      <c r="C504" s="29" t="s">
        <v>330</v>
      </c>
      <c r="D504" s="29" t="s">
        <v>231</v>
      </c>
      <c r="E504" s="29"/>
      <c r="F504" s="30">
        <v>675.3</v>
      </c>
      <c r="G504" s="15">
        <f t="shared" si="8"/>
        <v>-438.99999999999994</v>
      </c>
      <c r="H504" s="31">
        <v>236.3</v>
      </c>
      <c r="I504" s="31">
        <v>702.3</v>
      </c>
      <c r="J504" s="32">
        <v>730.4</v>
      </c>
    </row>
    <row r="505" spans="1:10">
      <c r="A505" s="33" t="s">
        <v>238</v>
      </c>
      <c r="B505" s="34" t="s">
        <v>312</v>
      </c>
      <c r="C505" s="34" t="s">
        <v>330</v>
      </c>
      <c r="D505" s="34" t="s">
        <v>239</v>
      </c>
      <c r="E505" s="34"/>
      <c r="F505" s="30">
        <v>675.3</v>
      </c>
      <c r="G505" s="15">
        <f t="shared" si="8"/>
        <v>-438.99999999999994</v>
      </c>
      <c r="H505" s="31">
        <v>236.3</v>
      </c>
      <c r="I505" s="31">
        <v>702.3</v>
      </c>
      <c r="J505" s="32">
        <v>730.4</v>
      </c>
    </row>
    <row r="506" spans="1:10" ht="102">
      <c r="A506" s="35" t="s">
        <v>337</v>
      </c>
      <c r="B506" s="39" t="s">
        <v>312</v>
      </c>
      <c r="C506" s="39" t="s">
        <v>330</v>
      </c>
      <c r="D506" s="39" t="s">
        <v>338</v>
      </c>
      <c r="E506" s="39"/>
      <c r="F506" s="30">
        <v>675.3</v>
      </c>
      <c r="G506" s="15">
        <f t="shared" si="8"/>
        <v>-438.99999999999994</v>
      </c>
      <c r="H506" s="31">
        <v>236.3</v>
      </c>
      <c r="I506" s="31">
        <v>702.3</v>
      </c>
      <c r="J506" s="32">
        <v>730.4</v>
      </c>
    </row>
    <row r="507" spans="1:10" ht="114.75">
      <c r="A507" s="37" t="s">
        <v>523</v>
      </c>
      <c r="B507" s="40" t="s">
        <v>312</v>
      </c>
      <c r="C507" s="40" t="s">
        <v>330</v>
      </c>
      <c r="D507" s="40" t="s">
        <v>338</v>
      </c>
      <c r="E507" s="40" t="s">
        <v>50</v>
      </c>
      <c r="F507" s="30">
        <v>675.3</v>
      </c>
      <c r="G507" s="15">
        <f t="shared" si="8"/>
        <v>-438.99999999999994</v>
      </c>
      <c r="H507" s="31">
        <v>236.3</v>
      </c>
      <c r="I507" s="31">
        <v>702.3</v>
      </c>
      <c r="J507" s="32">
        <v>730.4</v>
      </c>
    </row>
    <row r="508" spans="1:10" ht="51">
      <c r="A508" s="23" t="s">
        <v>196</v>
      </c>
      <c r="B508" s="24" t="s">
        <v>312</v>
      </c>
      <c r="C508" s="24" t="s">
        <v>330</v>
      </c>
      <c r="D508" s="24" t="s">
        <v>197</v>
      </c>
      <c r="E508" s="24"/>
      <c r="F508" s="25">
        <v>4035.6</v>
      </c>
      <c r="G508" s="15">
        <f t="shared" si="8"/>
        <v>0</v>
      </c>
      <c r="H508" s="26">
        <v>4035.6</v>
      </c>
      <c r="I508" s="26">
        <v>3820.66167</v>
      </c>
      <c r="J508" s="27">
        <v>3843.1005500000001</v>
      </c>
    </row>
    <row r="509" spans="1:10" ht="38.25">
      <c r="A509" s="28" t="s">
        <v>220</v>
      </c>
      <c r="B509" s="29" t="s">
        <v>312</v>
      </c>
      <c r="C509" s="29" t="s">
        <v>330</v>
      </c>
      <c r="D509" s="29" t="s">
        <v>221</v>
      </c>
      <c r="E509" s="29"/>
      <c r="F509" s="30">
        <v>4035.6</v>
      </c>
      <c r="G509" s="15">
        <f t="shared" si="8"/>
        <v>0</v>
      </c>
      <c r="H509" s="31">
        <v>4035.6</v>
      </c>
      <c r="I509" s="31">
        <v>3820.66167</v>
      </c>
      <c r="J509" s="32">
        <v>3843.1005500000001</v>
      </c>
    </row>
    <row r="510" spans="1:10" ht="25.5">
      <c r="A510" s="33" t="s">
        <v>222</v>
      </c>
      <c r="B510" s="34" t="s">
        <v>312</v>
      </c>
      <c r="C510" s="34" t="s">
        <v>330</v>
      </c>
      <c r="D510" s="34" t="s">
        <v>223</v>
      </c>
      <c r="E510" s="34"/>
      <c r="F510" s="30">
        <v>4035.6</v>
      </c>
      <c r="G510" s="15">
        <f t="shared" si="8"/>
        <v>0</v>
      </c>
      <c r="H510" s="31">
        <v>4035.6</v>
      </c>
      <c r="I510" s="31">
        <v>3820.66167</v>
      </c>
      <c r="J510" s="32">
        <v>3843.1005500000001</v>
      </c>
    </row>
    <row r="511" spans="1:10" ht="25.5">
      <c r="A511" s="35" t="s">
        <v>339</v>
      </c>
      <c r="B511" s="39" t="s">
        <v>312</v>
      </c>
      <c r="C511" s="39" t="s">
        <v>330</v>
      </c>
      <c r="D511" s="39" t="s">
        <v>340</v>
      </c>
      <c r="E511" s="39"/>
      <c r="F511" s="30">
        <v>4035.6</v>
      </c>
      <c r="G511" s="15">
        <f t="shared" si="8"/>
        <v>0</v>
      </c>
      <c r="H511" s="31">
        <v>4035.6</v>
      </c>
      <c r="I511" s="31">
        <v>3820.66167</v>
      </c>
      <c r="J511" s="32">
        <v>3843.1005500000001</v>
      </c>
    </row>
    <row r="512" spans="1:10" ht="38.25">
      <c r="A512" s="37" t="s">
        <v>524</v>
      </c>
      <c r="B512" s="40" t="s">
        <v>312</v>
      </c>
      <c r="C512" s="40" t="s">
        <v>330</v>
      </c>
      <c r="D512" s="40" t="s">
        <v>340</v>
      </c>
      <c r="E512" s="40" t="s">
        <v>50</v>
      </c>
      <c r="F512" s="30">
        <v>4035.6</v>
      </c>
      <c r="G512" s="15">
        <f t="shared" si="8"/>
        <v>0</v>
      </c>
      <c r="H512" s="31">
        <v>4035.6</v>
      </c>
      <c r="I512" s="31">
        <v>3820.66167</v>
      </c>
      <c r="J512" s="32">
        <v>3843.1005500000001</v>
      </c>
    </row>
    <row r="513" spans="1:11">
      <c r="A513" s="18" t="s">
        <v>341</v>
      </c>
      <c r="B513" s="19" t="s">
        <v>312</v>
      </c>
      <c r="C513" s="19" t="s">
        <v>342</v>
      </c>
      <c r="D513" s="19"/>
      <c r="E513" s="19"/>
      <c r="F513" s="20">
        <f>5263.567+234.5</f>
        <v>5498.067</v>
      </c>
      <c r="G513" s="15">
        <f t="shared" si="8"/>
        <v>574.97783999999956</v>
      </c>
      <c r="H513" s="21">
        <v>6073.0448399999996</v>
      </c>
      <c r="I513" s="21">
        <v>1000</v>
      </c>
      <c r="J513" s="22">
        <v>1000</v>
      </c>
    </row>
    <row r="514" spans="1:11" ht="25.5">
      <c r="A514" s="23" t="s">
        <v>20</v>
      </c>
      <c r="B514" s="24" t="s">
        <v>312</v>
      </c>
      <c r="C514" s="24" t="s">
        <v>342</v>
      </c>
      <c r="D514" s="24" t="s">
        <v>21</v>
      </c>
      <c r="E514" s="24"/>
      <c r="F514" s="25">
        <f>5263.567+234.5</f>
        <v>5498.067</v>
      </c>
      <c r="G514" s="15">
        <f t="shared" si="8"/>
        <v>574.97783999999956</v>
      </c>
      <c r="H514" s="26">
        <v>6073.0448399999996</v>
      </c>
      <c r="I514" s="26">
        <v>1000</v>
      </c>
      <c r="J514" s="27">
        <v>1000</v>
      </c>
    </row>
    <row r="515" spans="1:11" ht="25.5">
      <c r="A515" s="28" t="s">
        <v>387</v>
      </c>
      <c r="B515" s="29" t="s">
        <v>312</v>
      </c>
      <c r="C515" s="29" t="s">
        <v>342</v>
      </c>
      <c r="D515" s="29" t="s">
        <v>343</v>
      </c>
      <c r="E515" s="29"/>
      <c r="F515" s="30">
        <f>5263.567+234.5</f>
        <v>5498.067</v>
      </c>
      <c r="G515" s="15">
        <f t="shared" si="8"/>
        <v>574.97783999999956</v>
      </c>
      <c r="H515" s="31">
        <v>6073.0448399999996</v>
      </c>
      <c r="I515" s="31">
        <v>1000</v>
      </c>
      <c r="J515" s="32">
        <v>1000</v>
      </c>
    </row>
    <row r="516" spans="1:11" ht="51">
      <c r="A516" s="33" t="s">
        <v>344</v>
      </c>
      <c r="B516" s="34" t="s">
        <v>312</v>
      </c>
      <c r="C516" s="34" t="s">
        <v>342</v>
      </c>
      <c r="D516" s="34" t="s">
        <v>345</v>
      </c>
      <c r="E516" s="34"/>
      <c r="F516" s="41">
        <f>5263.567+234.5</f>
        <v>5498.067</v>
      </c>
      <c r="G516" s="15">
        <f t="shared" si="8"/>
        <v>574.97783999999956</v>
      </c>
      <c r="H516" s="31">
        <v>6073.0448399999996</v>
      </c>
      <c r="I516" s="31">
        <v>1000</v>
      </c>
      <c r="J516" s="32">
        <v>1000</v>
      </c>
    </row>
    <row r="517" spans="1:11">
      <c r="A517" s="35" t="s">
        <v>601</v>
      </c>
      <c r="B517" s="59" t="s">
        <v>312</v>
      </c>
      <c r="C517" s="59" t="s">
        <v>342</v>
      </c>
      <c r="D517" s="59" t="s">
        <v>626</v>
      </c>
      <c r="E517" s="34"/>
      <c r="F517" s="30">
        <v>830</v>
      </c>
      <c r="G517" s="15">
        <f t="shared" si="8"/>
        <v>455.61884000000009</v>
      </c>
      <c r="H517" s="31">
        <v>1285.6188400000001</v>
      </c>
      <c r="I517" s="31">
        <v>0</v>
      </c>
      <c r="J517" s="32">
        <v>0</v>
      </c>
    </row>
    <row r="518" spans="1:11" ht="38.25">
      <c r="A518" s="35" t="s">
        <v>622</v>
      </c>
      <c r="B518" s="59" t="s">
        <v>312</v>
      </c>
      <c r="C518" s="59" t="s">
        <v>342</v>
      </c>
      <c r="D518" s="59" t="s">
        <v>626</v>
      </c>
      <c r="E518" s="59" t="s">
        <v>109</v>
      </c>
      <c r="F518" s="30">
        <v>830</v>
      </c>
      <c r="G518" s="15">
        <f t="shared" si="8"/>
        <v>455.61884000000009</v>
      </c>
      <c r="H518" s="31">
        <v>1285.6188400000001</v>
      </c>
      <c r="I518" s="31">
        <v>0</v>
      </c>
      <c r="J518" s="32">
        <v>0</v>
      </c>
    </row>
    <row r="519" spans="1:11" ht="51">
      <c r="A519" s="35" t="s">
        <v>346</v>
      </c>
      <c r="B519" s="39" t="s">
        <v>312</v>
      </c>
      <c r="C519" s="39" t="s">
        <v>342</v>
      </c>
      <c r="D519" s="39" t="s">
        <v>347</v>
      </c>
      <c r="E519" s="39"/>
      <c r="F519" s="30">
        <f>1420.2+234.5</f>
        <v>1654.7</v>
      </c>
      <c r="G519" s="15">
        <f t="shared" si="8"/>
        <v>119.35899999999992</v>
      </c>
      <c r="H519" s="31">
        <v>1774.059</v>
      </c>
      <c r="I519" s="31">
        <v>1000</v>
      </c>
      <c r="J519" s="32">
        <v>1000</v>
      </c>
      <c r="K519" s="9"/>
    </row>
    <row r="520" spans="1:11" ht="76.5">
      <c r="A520" s="37" t="s">
        <v>565</v>
      </c>
      <c r="B520" s="40" t="s">
        <v>312</v>
      </c>
      <c r="C520" s="40" t="s">
        <v>342</v>
      </c>
      <c r="D520" s="40" t="s">
        <v>347</v>
      </c>
      <c r="E520" s="40" t="s">
        <v>109</v>
      </c>
      <c r="F520" s="30">
        <f>1420.2+234.5</f>
        <v>1654.7</v>
      </c>
      <c r="G520" s="15">
        <f t="shared" si="8"/>
        <v>119.35899999999992</v>
      </c>
      <c r="H520" s="31">
        <v>1774.059</v>
      </c>
      <c r="I520" s="31">
        <v>1000</v>
      </c>
      <c r="J520" s="32">
        <v>1000</v>
      </c>
    </row>
    <row r="521" spans="1:11" ht="51">
      <c r="A521" s="37" t="s">
        <v>597</v>
      </c>
      <c r="B521" s="66" t="s">
        <v>312</v>
      </c>
      <c r="C521" s="66" t="s">
        <v>342</v>
      </c>
      <c r="D521" s="66" t="s">
        <v>596</v>
      </c>
      <c r="E521" s="66"/>
      <c r="F521" s="30">
        <v>3013.3670000000002</v>
      </c>
      <c r="G521" s="15">
        <f t="shared" si="8"/>
        <v>0</v>
      </c>
      <c r="H521" s="31">
        <v>3013.3670000000002</v>
      </c>
      <c r="I521" s="31">
        <v>0</v>
      </c>
      <c r="J521" s="32">
        <v>0</v>
      </c>
    </row>
    <row r="522" spans="1:11" ht="76.5">
      <c r="A522" s="68" t="s">
        <v>598</v>
      </c>
      <c r="B522" s="66" t="s">
        <v>312</v>
      </c>
      <c r="C522" s="66" t="s">
        <v>342</v>
      </c>
      <c r="D522" s="66" t="s">
        <v>596</v>
      </c>
      <c r="E522" s="66" t="s">
        <v>109</v>
      </c>
      <c r="F522" s="30">
        <v>3013.3670000000002</v>
      </c>
      <c r="G522" s="15">
        <f t="shared" si="8"/>
        <v>0</v>
      </c>
      <c r="H522" s="31">
        <v>3013.3670000000002</v>
      </c>
      <c r="I522" s="31">
        <v>0</v>
      </c>
      <c r="J522" s="32">
        <v>0</v>
      </c>
    </row>
    <row r="523" spans="1:11">
      <c r="A523" s="12" t="s">
        <v>348</v>
      </c>
      <c r="B523" s="13" t="s">
        <v>349</v>
      </c>
      <c r="C523" s="13"/>
      <c r="D523" s="13"/>
      <c r="E523" s="13"/>
      <c r="F523" s="14">
        <f>40996.46503+2100.7</f>
        <v>43097.165029999996</v>
      </c>
      <c r="G523" s="15">
        <f t="shared" si="8"/>
        <v>-2624.1847299999936</v>
      </c>
      <c r="H523" s="16">
        <v>40472.980300000003</v>
      </c>
      <c r="I523" s="16">
        <v>48605.627919999999</v>
      </c>
      <c r="J523" s="17">
        <v>41123.627919999999</v>
      </c>
    </row>
    <row r="524" spans="1:11">
      <c r="A524" s="18" t="s">
        <v>350</v>
      </c>
      <c r="B524" s="19" t="s">
        <v>349</v>
      </c>
      <c r="C524" s="19" t="s">
        <v>351</v>
      </c>
      <c r="D524" s="19"/>
      <c r="E524" s="19"/>
      <c r="F524" s="20">
        <f>1101.91503+500</f>
        <v>1601.9150299999999</v>
      </c>
      <c r="G524" s="15">
        <f t="shared" si="8"/>
        <v>-8.8015899999998055</v>
      </c>
      <c r="H524" s="21">
        <v>1593.1134400000001</v>
      </c>
      <c r="I524" s="21">
        <v>1060.4000000000001</v>
      </c>
      <c r="J524" s="22">
        <v>1145.3</v>
      </c>
    </row>
    <row r="525" spans="1:11" ht="38.25">
      <c r="A525" s="23" t="s">
        <v>82</v>
      </c>
      <c r="B525" s="24" t="s">
        <v>349</v>
      </c>
      <c r="C525" s="24" t="s">
        <v>351</v>
      </c>
      <c r="D525" s="24" t="s">
        <v>83</v>
      </c>
      <c r="E525" s="24"/>
      <c r="F525" s="42">
        <f>1101.91503+500</f>
        <v>1601.9150299999999</v>
      </c>
      <c r="G525" s="15">
        <f t="shared" si="8"/>
        <v>-8.8015899999998055</v>
      </c>
      <c r="H525" s="26">
        <v>1593.1134400000001</v>
      </c>
      <c r="I525" s="26">
        <v>1060.4000000000001</v>
      </c>
      <c r="J525" s="27">
        <v>1145.3</v>
      </c>
    </row>
    <row r="526" spans="1:11">
      <c r="A526" s="28" t="s">
        <v>352</v>
      </c>
      <c r="B526" s="29" t="s">
        <v>349</v>
      </c>
      <c r="C526" s="29" t="s">
        <v>351</v>
      </c>
      <c r="D526" s="29" t="s">
        <v>353</v>
      </c>
      <c r="E526" s="29"/>
      <c r="F526" s="30">
        <f>1101.91503+500</f>
        <v>1601.9150299999999</v>
      </c>
      <c r="G526" s="15">
        <f t="shared" si="8"/>
        <v>-8.8015899999998055</v>
      </c>
      <c r="H526" s="31">
        <v>1593.1134400000001</v>
      </c>
      <c r="I526" s="31">
        <v>1060.4000000000001</v>
      </c>
      <c r="J526" s="32">
        <v>1145.3</v>
      </c>
    </row>
    <row r="527" spans="1:11" ht="25.5">
      <c r="A527" s="33" t="s">
        <v>354</v>
      </c>
      <c r="B527" s="34" t="s">
        <v>349</v>
      </c>
      <c r="C527" s="34" t="s">
        <v>351</v>
      </c>
      <c r="D527" s="34" t="s">
        <v>355</v>
      </c>
      <c r="E527" s="34"/>
      <c r="F527" s="30">
        <f>1101.91503+500</f>
        <v>1601.9150299999999</v>
      </c>
      <c r="G527" s="15">
        <f t="shared" si="8"/>
        <v>-8.8015899999998055</v>
      </c>
      <c r="H527" s="31">
        <v>1593.1134400000001</v>
      </c>
      <c r="I527" s="31">
        <v>1060.4000000000001</v>
      </c>
      <c r="J527" s="32">
        <v>1145.3</v>
      </c>
    </row>
    <row r="528" spans="1:11" ht="51">
      <c r="A528" s="35" t="s">
        <v>356</v>
      </c>
      <c r="B528" s="39" t="s">
        <v>349</v>
      </c>
      <c r="C528" s="39" t="s">
        <v>351</v>
      </c>
      <c r="D528" s="39" t="s">
        <v>357</v>
      </c>
      <c r="E528" s="39"/>
      <c r="F528" s="30">
        <f>1101.91503+500</f>
        <v>1601.9150299999999</v>
      </c>
      <c r="G528" s="15">
        <f t="shared" si="8"/>
        <v>-8.8015899999998055</v>
      </c>
      <c r="H528" s="31">
        <v>1593.1134400000001</v>
      </c>
      <c r="I528" s="31">
        <v>1060.4000000000001</v>
      </c>
      <c r="J528" s="32">
        <v>1145.3</v>
      </c>
    </row>
    <row r="529" spans="1:10" ht="76.5">
      <c r="A529" s="37" t="s">
        <v>512</v>
      </c>
      <c r="B529" s="40" t="s">
        <v>349</v>
      </c>
      <c r="C529" s="40" t="s">
        <v>351</v>
      </c>
      <c r="D529" s="40" t="s">
        <v>357</v>
      </c>
      <c r="E529" s="40" t="s">
        <v>34</v>
      </c>
      <c r="F529" s="30">
        <f>795.55979+500</f>
        <v>1295.55979</v>
      </c>
      <c r="G529" s="15">
        <f t="shared" si="8"/>
        <v>-71.404260000000022</v>
      </c>
      <c r="H529" s="31">
        <v>1224.15553</v>
      </c>
      <c r="I529" s="31">
        <v>1060.4000000000001</v>
      </c>
      <c r="J529" s="32">
        <v>1145.3</v>
      </c>
    </row>
    <row r="530" spans="1:10" ht="76.5">
      <c r="A530" s="37" t="s">
        <v>566</v>
      </c>
      <c r="B530" s="40" t="s">
        <v>349</v>
      </c>
      <c r="C530" s="40" t="s">
        <v>351</v>
      </c>
      <c r="D530" s="40" t="s">
        <v>357</v>
      </c>
      <c r="E530" s="40" t="s">
        <v>109</v>
      </c>
      <c r="F530" s="30">
        <v>306.35523999999998</v>
      </c>
      <c r="G530" s="15">
        <f t="shared" si="8"/>
        <v>62.602670000000046</v>
      </c>
      <c r="H530" s="31">
        <v>368.95791000000003</v>
      </c>
      <c r="I530" s="31">
        <v>0</v>
      </c>
      <c r="J530" s="32">
        <v>0</v>
      </c>
    </row>
    <row r="531" spans="1:10">
      <c r="A531" s="18" t="s">
        <v>358</v>
      </c>
      <c r="B531" s="19" t="s">
        <v>349</v>
      </c>
      <c r="C531" s="19" t="s">
        <v>359</v>
      </c>
      <c r="D531" s="19"/>
      <c r="E531" s="19"/>
      <c r="F531" s="20">
        <f>39894.55+1600.7</f>
        <v>41495.25</v>
      </c>
      <c r="G531" s="15">
        <f t="shared" si="8"/>
        <v>-2615.3831399999981</v>
      </c>
      <c r="H531" s="21">
        <v>38879.866860000002</v>
      </c>
      <c r="I531" s="21">
        <v>47545.227919999998</v>
      </c>
      <c r="J531" s="22">
        <v>39978.327920000003</v>
      </c>
    </row>
    <row r="532" spans="1:10" ht="38.25">
      <c r="A532" s="23" t="s">
        <v>82</v>
      </c>
      <c r="B532" s="24" t="s">
        <v>349</v>
      </c>
      <c r="C532" s="24" t="s">
        <v>359</v>
      </c>
      <c r="D532" s="24" t="s">
        <v>83</v>
      </c>
      <c r="E532" s="24"/>
      <c r="F532" s="25">
        <f>39894.55+1600.7</f>
        <v>41495.25</v>
      </c>
      <c r="G532" s="15">
        <f t="shared" si="8"/>
        <v>-2615.3831399999981</v>
      </c>
      <c r="H532" s="26">
        <v>38879.866860000002</v>
      </c>
      <c r="I532" s="26">
        <v>47545.227919999998</v>
      </c>
      <c r="J532" s="27">
        <v>39978.327920000003</v>
      </c>
    </row>
    <row r="533" spans="1:10" ht="25.5">
      <c r="A533" s="28" t="s">
        <v>230</v>
      </c>
      <c r="B533" s="29" t="s">
        <v>349</v>
      </c>
      <c r="C533" s="29" t="s">
        <v>359</v>
      </c>
      <c r="D533" s="29" t="s">
        <v>231</v>
      </c>
      <c r="E533" s="29"/>
      <c r="F533" s="30">
        <v>0</v>
      </c>
      <c r="G533" s="15">
        <f t="shared" si="8"/>
        <v>0</v>
      </c>
      <c r="H533" s="31">
        <v>0</v>
      </c>
      <c r="I533" s="31">
        <v>8759.7000000000007</v>
      </c>
      <c r="J533" s="32">
        <v>0</v>
      </c>
    </row>
    <row r="534" spans="1:10">
      <c r="A534" s="33" t="s">
        <v>238</v>
      </c>
      <c r="B534" s="34" t="s">
        <v>349</v>
      </c>
      <c r="C534" s="34" t="s">
        <v>359</v>
      </c>
      <c r="D534" s="34" t="s">
        <v>239</v>
      </c>
      <c r="E534" s="34"/>
      <c r="F534" s="30">
        <v>0</v>
      </c>
      <c r="G534" s="15">
        <f t="shared" si="8"/>
        <v>0</v>
      </c>
      <c r="H534" s="31">
        <v>0</v>
      </c>
      <c r="I534" s="31">
        <v>8759.7000000000007</v>
      </c>
      <c r="J534" s="32">
        <v>0</v>
      </c>
    </row>
    <row r="535" spans="1:10">
      <c r="A535" s="35" t="s">
        <v>431</v>
      </c>
      <c r="B535" s="39" t="s">
        <v>349</v>
      </c>
      <c r="C535" s="39" t="s">
        <v>359</v>
      </c>
      <c r="D535" s="39" t="s">
        <v>432</v>
      </c>
      <c r="E535" s="39"/>
      <c r="F535" s="30">
        <v>0</v>
      </c>
      <c r="G535" s="15">
        <f t="shared" si="8"/>
        <v>0</v>
      </c>
      <c r="H535" s="31">
        <v>0</v>
      </c>
      <c r="I535" s="31">
        <v>8759.7000000000007</v>
      </c>
      <c r="J535" s="32">
        <v>0</v>
      </c>
    </row>
    <row r="536" spans="1:10" ht="38.25">
      <c r="A536" s="37" t="s">
        <v>567</v>
      </c>
      <c r="B536" s="40" t="s">
        <v>349</v>
      </c>
      <c r="C536" s="40" t="s">
        <v>359</v>
      </c>
      <c r="D536" s="40" t="s">
        <v>432</v>
      </c>
      <c r="E536" s="40" t="s">
        <v>109</v>
      </c>
      <c r="F536" s="30">
        <v>0</v>
      </c>
      <c r="G536" s="15">
        <f t="shared" si="8"/>
        <v>0</v>
      </c>
      <c r="H536" s="31">
        <v>0</v>
      </c>
      <c r="I536" s="31">
        <v>8759.7000000000007</v>
      </c>
      <c r="J536" s="32">
        <v>0</v>
      </c>
    </row>
    <row r="537" spans="1:10">
      <c r="A537" s="28" t="s">
        <v>352</v>
      </c>
      <c r="B537" s="29" t="s">
        <v>349</v>
      </c>
      <c r="C537" s="29" t="s">
        <v>359</v>
      </c>
      <c r="D537" s="29" t="s">
        <v>353</v>
      </c>
      <c r="E537" s="29"/>
      <c r="F537" s="41">
        <f>39894.55+1600.7</f>
        <v>41495.25</v>
      </c>
      <c r="G537" s="15">
        <f t="shared" si="8"/>
        <v>-2615.3831399999981</v>
      </c>
      <c r="H537" s="31">
        <v>38879.866860000002</v>
      </c>
      <c r="I537" s="31">
        <v>38785.52792</v>
      </c>
      <c r="J537" s="32">
        <v>39978.327920000003</v>
      </c>
    </row>
    <row r="538" spans="1:10" ht="25.5">
      <c r="A538" s="33" t="s">
        <v>360</v>
      </c>
      <c r="B538" s="34" t="s">
        <v>349</v>
      </c>
      <c r="C538" s="34" t="s">
        <v>359</v>
      </c>
      <c r="D538" s="34" t="s">
        <v>361</v>
      </c>
      <c r="E538" s="34"/>
      <c r="F538" s="41">
        <f>39894.55+1600.7</f>
        <v>41495.25</v>
      </c>
      <c r="G538" s="15">
        <f t="shared" si="8"/>
        <v>-2615.3831399999981</v>
      </c>
      <c r="H538" s="31">
        <v>38879.866860000002</v>
      </c>
      <c r="I538" s="31">
        <v>38785.52792</v>
      </c>
      <c r="J538" s="32">
        <v>39978.327920000003</v>
      </c>
    </row>
    <row r="539" spans="1:10">
      <c r="A539" s="35" t="s">
        <v>601</v>
      </c>
      <c r="B539" s="36" t="s">
        <v>349</v>
      </c>
      <c r="C539" s="36" t="s">
        <v>359</v>
      </c>
      <c r="D539" s="36" t="s">
        <v>644</v>
      </c>
      <c r="E539" s="36"/>
      <c r="F539" s="30">
        <v>100</v>
      </c>
      <c r="G539" s="15">
        <f t="shared" si="8"/>
        <v>0</v>
      </c>
      <c r="H539" s="31">
        <v>100</v>
      </c>
      <c r="I539" s="31">
        <v>0</v>
      </c>
      <c r="J539" s="32">
        <v>0</v>
      </c>
    </row>
    <row r="540" spans="1:10">
      <c r="A540" s="37" t="s">
        <v>601</v>
      </c>
      <c r="B540" s="38" t="s">
        <v>349</v>
      </c>
      <c r="C540" s="38" t="s">
        <v>359</v>
      </c>
      <c r="D540" s="38" t="s">
        <v>644</v>
      </c>
      <c r="E540" s="38" t="s">
        <v>109</v>
      </c>
      <c r="F540" s="30">
        <v>100</v>
      </c>
      <c r="G540" s="15">
        <f t="shared" si="8"/>
        <v>0</v>
      </c>
      <c r="H540" s="31">
        <v>100</v>
      </c>
      <c r="I540" s="31">
        <v>0</v>
      </c>
      <c r="J540" s="32">
        <v>0</v>
      </c>
    </row>
    <row r="541" spans="1:10" ht="63.75">
      <c r="A541" s="35" t="s">
        <v>362</v>
      </c>
      <c r="B541" s="39" t="s">
        <v>349</v>
      </c>
      <c r="C541" s="39" t="s">
        <v>359</v>
      </c>
      <c r="D541" s="39" t="s">
        <v>363</v>
      </c>
      <c r="E541" s="39"/>
      <c r="F541" s="30">
        <f>38630.3+1600.7</f>
        <v>40231</v>
      </c>
      <c r="G541" s="15">
        <f t="shared" si="8"/>
        <v>-2615.3831399999981</v>
      </c>
      <c r="H541" s="31">
        <v>37615.616860000002</v>
      </c>
      <c r="I541" s="31">
        <v>37628.300000000003</v>
      </c>
      <c r="J541" s="32">
        <v>38821.1</v>
      </c>
    </row>
    <row r="542" spans="1:10" ht="89.25">
      <c r="A542" s="37" t="s">
        <v>568</v>
      </c>
      <c r="B542" s="40" t="s">
        <v>349</v>
      </c>
      <c r="C542" s="40" t="s">
        <v>359</v>
      </c>
      <c r="D542" s="40" t="s">
        <v>363</v>
      </c>
      <c r="E542" s="40" t="s">
        <v>109</v>
      </c>
      <c r="F542" s="30">
        <f>38630.3+1600.7</f>
        <v>40231</v>
      </c>
      <c r="G542" s="15">
        <f t="shared" si="8"/>
        <v>-2615.3831399999981</v>
      </c>
      <c r="H542" s="31">
        <v>37615.616860000002</v>
      </c>
      <c r="I542" s="31">
        <v>37628.300000000003</v>
      </c>
      <c r="J542" s="32">
        <v>38821.1</v>
      </c>
    </row>
    <row r="543" spans="1:10" ht="25.5">
      <c r="A543" s="35" t="s">
        <v>364</v>
      </c>
      <c r="B543" s="39" t="s">
        <v>349</v>
      </c>
      <c r="C543" s="39" t="s">
        <v>359</v>
      </c>
      <c r="D543" s="39" t="s">
        <v>365</v>
      </c>
      <c r="E543" s="39"/>
      <c r="F543" s="30">
        <v>1164.25</v>
      </c>
      <c r="G543" s="15">
        <f t="shared" si="8"/>
        <v>0</v>
      </c>
      <c r="H543" s="31">
        <v>1164.25</v>
      </c>
      <c r="I543" s="31">
        <v>1157.22792</v>
      </c>
      <c r="J543" s="32">
        <v>1157.22792</v>
      </c>
    </row>
    <row r="544" spans="1:10" ht="25.5">
      <c r="A544" s="37" t="s">
        <v>537</v>
      </c>
      <c r="B544" s="40" t="s">
        <v>349</v>
      </c>
      <c r="C544" s="40" t="s">
        <v>359</v>
      </c>
      <c r="D544" s="40" t="s">
        <v>365</v>
      </c>
      <c r="E544" s="40" t="s">
        <v>48</v>
      </c>
      <c r="F544" s="30">
        <v>698.55</v>
      </c>
      <c r="G544" s="15">
        <f t="shared" si="8"/>
        <v>0</v>
      </c>
      <c r="H544" s="31">
        <v>698.55</v>
      </c>
      <c r="I544" s="31">
        <v>698.52791999999999</v>
      </c>
      <c r="J544" s="32">
        <v>698.52791999999999</v>
      </c>
    </row>
    <row r="545" spans="1:10" ht="51">
      <c r="A545" s="37" t="s">
        <v>569</v>
      </c>
      <c r="B545" s="40" t="s">
        <v>349</v>
      </c>
      <c r="C545" s="40" t="s">
        <v>359</v>
      </c>
      <c r="D545" s="40" t="s">
        <v>365</v>
      </c>
      <c r="E545" s="40" t="s">
        <v>109</v>
      </c>
      <c r="F545" s="30">
        <v>465.7</v>
      </c>
      <c r="G545" s="15">
        <f t="shared" si="8"/>
        <v>0</v>
      </c>
      <c r="H545" s="31">
        <v>465.7</v>
      </c>
      <c r="I545" s="31">
        <v>458.7</v>
      </c>
      <c r="J545" s="32">
        <v>458.7</v>
      </c>
    </row>
    <row r="546" spans="1:10" ht="45">
      <c r="A546" s="12" t="s">
        <v>366</v>
      </c>
      <c r="B546" s="13" t="s">
        <v>367</v>
      </c>
      <c r="C546" s="13"/>
      <c r="D546" s="13"/>
      <c r="E546" s="13"/>
      <c r="F546" s="14">
        <f>56840.9+6993</f>
        <v>63833.9</v>
      </c>
      <c r="G546" s="15">
        <f t="shared" si="8"/>
        <v>1378.824609999996</v>
      </c>
      <c r="H546" s="16">
        <v>65212.724609999997</v>
      </c>
      <c r="I546" s="16">
        <v>13295</v>
      </c>
      <c r="J546" s="17">
        <v>14155</v>
      </c>
    </row>
    <row r="547" spans="1:10" ht="38.25">
      <c r="A547" s="18" t="s">
        <v>368</v>
      </c>
      <c r="B547" s="19" t="s">
        <v>367</v>
      </c>
      <c r="C547" s="19" t="s">
        <v>369</v>
      </c>
      <c r="D547" s="19"/>
      <c r="E547" s="19"/>
      <c r="F547" s="20">
        <v>13778</v>
      </c>
      <c r="G547" s="15">
        <f t="shared" si="8"/>
        <v>0</v>
      </c>
      <c r="H547" s="21">
        <v>13778</v>
      </c>
      <c r="I547" s="21">
        <v>13295</v>
      </c>
      <c r="J547" s="22">
        <v>14155</v>
      </c>
    </row>
    <row r="548" spans="1:10" ht="25.5">
      <c r="A548" s="23" t="s">
        <v>54</v>
      </c>
      <c r="B548" s="24" t="s">
        <v>367</v>
      </c>
      <c r="C548" s="24" t="s">
        <v>369</v>
      </c>
      <c r="D548" s="24" t="s">
        <v>55</v>
      </c>
      <c r="E548" s="24"/>
      <c r="F548" s="25">
        <v>13778</v>
      </c>
      <c r="G548" s="15">
        <f t="shared" si="8"/>
        <v>0</v>
      </c>
      <c r="H548" s="26">
        <v>13778</v>
      </c>
      <c r="I548" s="26">
        <v>13295</v>
      </c>
      <c r="J548" s="27">
        <v>14155</v>
      </c>
    </row>
    <row r="549" spans="1:10" ht="25.5">
      <c r="A549" s="28" t="s">
        <v>88</v>
      </c>
      <c r="B549" s="29" t="s">
        <v>367</v>
      </c>
      <c r="C549" s="29" t="s">
        <v>369</v>
      </c>
      <c r="D549" s="29" t="s">
        <v>89</v>
      </c>
      <c r="E549" s="29"/>
      <c r="F549" s="30">
        <v>13778</v>
      </c>
      <c r="G549" s="15">
        <f t="shared" si="8"/>
        <v>0</v>
      </c>
      <c r="H549" s="31">
        <v>13778</v>
      </c>
      <c r="I549" s="31">
        <v>13295</v>
      </c>
      <c r="J549" s="32">
        <v>14155</v>
      </c>
    </row>
    <row r="550" spans="1:10" ht="38.25">
      <c r="A550" s="33" t="s">
        <v>370</v>
      </c>
      <c r="B550" s="34" t="s">
        <v>367</v>
      </c>
      <c r="C550" s="34" t="s">
        <v>369</v>
      </c>
      <c r="D550" s="34" t="s">
        <v>371</v>
      </c>
      <c r="E550" s="34"/>
      <c r="F550" s="30">
        <v>13778</v>
      </c>
      <c r="G550" s="15">
        <f t="shared" si="8"/>
        <v>0</v>
      </c>
      <c r="H550" s="31">
        <v>13778</v>
      </c>
      <c r="I550" s="31">
        <v>13295</v>
      </c>
      <c r="J550" s="32">
        <v>14155</v>
      </c>
    </row>
    <row r="551" spans="1:10" ht="76.5">
      <c r="A551" s="35" t="s">
        <v>372</v>
      </c>
      <c r="B551" s="39" t="s">
        <v>367</v>
      </c>
      <c r="C551" s="39" t="s">
        <v>369</v>
      </c>
      <c r="D551" s="39" t="s">
        <v>373</v>
      </c>
      <c r="E551" s="39"/>
      <c r="F551" s="30">
        <v>7108</v>
      </c>
      <c r="G551" s="15">
        <f t="shared" si="8"/>
        <v>0</v>
      </c>
      <c r="H551" s="31">
        <v>7108</v>
      </c>
      <c r="I551" s="31">
        <v>6180</v>
      </c>
      <c r="J551" s="32">
        <v>6410</v>
      </c>
    </row>
    <row r="552" spans="1:10" ht="76.5">
      <c r="A552" s="37" t="s">
        <v>538</v>
      </c>
      <c r="B552" s="40" t="s">
        <v>367</v>
      </c>
      <c r="C552" s="40" t="s">
        <v>369</v>
      </c>
      <c r="D552" s="40" t="s">
        <v>373</v>
      </c>
      <c r="E552" s="40" t="s">
        <v>48</v>
      </c>
      <c r="F552" s="30">
        <v>7108</v>
      </c>
      <c r="G552" s="15">
        <f t="shared" si="8"/>
        <v>0</v>
      </c>
      <c r="H552" s="31">
        <v>7108</v>
      </c>
      <c r="I552" s="31">
        <v>6180</v>
      </c>
      <c r="J552" s="32">
        <v>6410</v>
      </c>
    </row>
    <row r="553" spans="1:10" ht="63.75">
      <c r="A553" s="35" t="s">
        <v>374</v>
      </c>
      <c r="B553" s="39" t="s">
        <v>367</v>
      </c>
      <c r="C553" s="39" t="s">
        <v>369</v>
      </c>
      <c r="D553" s="39" t="s">
        <v>375</v>
      </c>
      <c r="E553" s="39"/>
      <c r="F553" s="30">
        <v>6670</v>
      </c>
      <c r="G553" s="15">
        <f t="shared" si="8"/>
        <v>0</v>
      </c>
      <c r="H553" s="31">
        <v>6670</v>
      </c>
      <c r="I553" s="31">
        <v>7115</v>
      </c>
      <c r="J553" s="32">
        <v>7745</v>
      </c>
    </row>
    <row r="554" spans="1:10" ht="63.75">
      <c r="A554" s="37" t="s">
        <v>539</v>
      </c>
      <c r="B554" s="40" t="s">
        <v>367</v>
      </c>
      <c r="C554" s="40" t="s">
        <v>369</v>
      </c>
      <c r="D554" s="40" t="s">
        <v>375</v>
      </c>
      <c r="E554" s="40" t="s">
        <v>48</v>
      </c>
      <c r="F554" s="30">
        <v>6670</v>
      </c>
      <c r="G554" s="15">
        <f t="shared" si="8"/>
        <v>0</v>
      </c>
      <c r="H554" s="31">
        <v>6670</v>
      </c>
      <c r="I554" s="31">
        <v>7115</v>
      </c>
      <c r="J554" s="32">
        <v>7745</v>
      </c>
    </row>
    <row r="555" spans="1:10">
      <c r="A555" s="18" t="s">
        <v>376</v>
      </c>
      <c r="B555" s="19" t="s">
        <v>367</v>
      </c>
      <c r="C555" s="19" t="s">
        <v>377</v>
      </c>
      <c r="D555" s="19"/>
      <c r="E555" s="19"/>
      <c r="F555" s="20">
        <f>43062.9+66993</f>
        <v>110055.9</v>
      </c>
      <c r="G555" s="15">
        <f t="shared" si="8"/>
        <v>-58621.175389999997</v>
      </c>
      <c r="H555" s="21">
        <v>51434.724609999997</v>
      </c>
      <c r="I555" s="21">
        <v>0</v>
      </c>
      <c r="J555" s="22">
        <v>0</v>
      </c>
    </row>
    <row r="556" spans="1:10" ht="25.5">
      <c r="A556" s="23" t="s">
        <v>20</v>
      </c>
      <c r="B556" s="24" t="s">
        <v>367</v>
      </c>
      <c r="C556" s="24" t="s">
        <v>377</v>
      </c>
      <c r="D556" s="24" t="s">
        <v>21</v>
      </c>
      <c r="E556" s="24"/>
      <c r="F556" s="25">
        <v>1211.9000000000001</v>
      </c>
      <c r="G556" s="15">
        <f t="shared" si="8"/>
        <v>0</v>
      </c>
      <c r="H556" s="26">
        <v>1211.9000000000001</v>
      </c>
      <c r="I556" s="26">
        <v>0</v>
      </c>
      <c r="J556" s="27">
        <v>0</v>
      </c>
    </row>
    <row r="557" spans="1:10" ht="38.25">
      <c r="A557" s="28" t="s">
        <v>37</v>
      </c>
      <c r="B557" s="29" t="s">
        <v>367</v>
      </c>
      <c r="C557" s="29" t="s">
        <v>377</v>
      </c>
      <c r="D557" s="29" t="s">
        <v>38</v>
      </c>
      <c r="E557" s="29"/>
      <c r="F557" s="30">
        <v>100</v>
      </c>
      <c r="G557" s="15">
        <f t="shared" si="8"/>
        <v>0</v>
      </c>
      <c r="H557" s="31">
        <v>100</v>
      </c>
      <c r="I557" s="31">
        <v>0</v>
      </c>
      <c r="J557" s="32">
        <v>0</v>
      </c>
    </row>
    <row r="558" spans="1:10" ht="25.5">
      <c r="A558" s="33" t="s">
        <v>447</v>
      </c>
      <c r="B558" s="34" t="s">
        <v>367</v>
      </c>
      <c r="C558" s="34" t="s">
        <v>377</v>
      </c>
      <c r="D558" s="34" t="s">
        <v>448</v>
      </c>
      <c r="E558" s="34"/>
      <c r="F558" s="30">
        <v>100</v>
      </c>
      <c r="G558" s="15">
        <f t="shared" si="8"/>
        <v>0</v>
      </c>
      <c r="H558" s="31">
        <v>100</v>
      </c>
      <c r="I558" s="31">
        <v>0</v>
      </c>
      <c r="J558" s="32">
        <v>0</v>
      </c>
    </row>
    <row r="559" spans="1:10" ht="76.5">
      <c r="A559" s="35" t="s">
        <v>449</v>
      </c>
      <c r="B559" s="39" t="s">
        <v>367</v>
      </c>
      <c r="C559" s="39" t="s">
        <v>377</v>
      </c>
      <c r="D559" s="39" t="s">
        <v>450</v>
      </c>
      <c r="E559" s="39"/>
      <c r="F559" s="30">
        <v>100</v>
      </c>
      <c r="G559" s="15">
        <f t="shared" ref="G559:G573" si="9">SUM(H559-F559)</f>
        <v>0</v>
      </c>
      <c r="H559" s="31">
        <v>100</v>
      </c>
      <c r="I559" s="31">
        <v>0</v>
      </c>
      <c r="J559" s="32">
        <v>0</v>
      </c>
    </row>
    <row r="560" spans="1:10" ht="76.5">
      <c r="A560" s="37" t="s">
        <v>540</v>
      </c>
      <c r="B560" s="40" t="s">
        <v>367</v>
      </c>
      <c r="C560" s="40" t="s">
        <v>377</v>
      </c>
      <c r="D560" s="40" t="s">
        <v>450</v>
      </c>
      <c r="E560" s="40" t="s">
        <v>48</v>
      </c>
      <c r="F560" s="30">
        <v>100</v>
      </c>
      <c r="G560" s="15">
        <f t="shared" si="9"/>
        <v>0</v>
      </c>
      <c r="H560" s="31">
        <v>100</v>
      </c>
      <c r="I560" s="31">
        <v>0</v>
      </c>
      <c r="J560" s="32">
        <v>0</v>
      </c>
    </row>
    <row r="561" spans="1:10" ht="25.5">
      <c r="A561" s="28" t="s">
        <v>22</v>
      </c>
      <c r="B561" s="29" t="s">
        <v>367</v>
      </c>
      <c r="C561" s="29" t="s">
        <v>377</v>
      </c>
      <c r="D561" s="29" t="s">
        <v>23</v>
      </c>
      <c r="E561" s="29"/>
      <c r="F561" s="30">
        <v>1111.9000000000001</v>
      </c>
      <c r="G561" s="15">
        <f t="shared" si="9"/>
        <v>0</v>
      </c>
      <c r="H561" s="31">
        <v>1111.9000000000001</v>
      </c>
      <c r="I561" s="31">
        <v>0</v>
      </c>
      <c r="J561" s="32">
        <v>0</v>
      </c>
    </row>
    <row r="562" spans="1:10" ht="38.25">
      <c r="A562" s="33" t="s">
        <v>24</v>
      </c>
      <c r="B562" s="34" t="s">
        <v>367</v>
      </c>
      <c r="C562" s="34" t="s">
        <v>377</v>
      </c>
      <c r="D562" s="34" t="s">
        <v>25</v>
      </c>
      <c r="E562" s="34"/>
      <c r="F562" s="30">
        <v>1111.9000000000001</v>
      </c>
      <c r="G562" s="15">
        <f t="shared" si="9"/>
        <v>0</v>
      </c>
      <c r="H562" s="31">
        <v>1111.9000000000001</v>
      </c>
      <c r="I562" s="31">
        <v>0</v>
      </c>
      <c r="J562" s="32">
        <v>0</v>
      </c>
    </row>
    <row r="563" spans="1:10" ht="51">
      <c r="A563" s="35" t="s">
        <v>433</v>
      </c>
      <c r="B563" s="39" t="s">
        <v>367</v>
      </c>
      <c r="C563" s="39" t="s">
        <v>377</v>
      </c>
      <c r="D563" s="39" t="s">
        <v>434</v>
      </c>
      <c r="E563" s="39"/>
      <c r="F563" s="30">
        <v>1111.9000000000001</v>
      </c>
      <c r="G563" s="15">
        <f t="shared" si="9"/>
        <v>0</v>
      </c>
      <c r="H563" s="31">
        <v>1111.9000000000001</v>
      </c>
      <c r="I563" s="31">
        <v>0</v>
      </c>
      <c r="J563" s="32">
        <v>0</v>
      </c>
    </row>
    <row r="564" spans="1:10" ht="51">
      <c r="A564" s="37" t="s">
        <v>541</v>
      </c>
      <c r="B564" s="40" t="s">
        <v>367</v>
      </c>
      <c r="C564" s="40" t="s">
        <v>377</v>
      </c>
      <c r="D564" s="40" t="s">
        <v>434</v>
      </c>
      <c r="E564" s="40" t="s">
        <v>48</v>
      </c>
      <c r="F564" s="30">
        <v>1111.9000000000001</v>
      </c>
      <c r="G564" s="15">
        <f t="shared" si="9"/>
        <v>0</v>
      </c>
      <c r="H564" s="31">
        <v>1111.9000000000001</v>
      </c>
      <c r="I564" s="31">
        <v>0</v>
      </c>
      <c r="J564" s="32">
        <v>0</v>
      </c>
    </row>
    <row r="565" spans="1:10" ht="25.5">
      <c r="A565" s="23" t="s">
        <v>54</v>
      </c>
      <c r="B565" s="24" t="s">
        <v>367</v>
      </c>
      <c r="C565" s="24" t="s">
        <v>377</v>
      </c>
      <c r="D565" s="24" t="s">
        <v>55</v>
      </c>
      <c r="E565" s="24"/>
      <c r="F565" s="25">
        <f>41851+6993</f>
        <v>48844</v>
      </c>
      <c r="G565" s="15">
        <f t="shared" si="9"/>
        <v>1378.8246100000033</v>
      </c>
      <c r="H565" s="26">
        <v>50222.824610000003</v>
      </c>
      <c r="I565" s="26">
        <v>0</v>
      </c>
      <c r="J565" s="27">
        <v>0</v>
      </c>
    </row>
    <row r="566" spans="1:10" ht="25.5">
      <c r="A566" s="28" t="s">
        <v>88</v>
      </c>
      <c r="B566" s="29" t="s">
        <v>367</v>
      </c>
      <c r="C566" s="29" t="s">
        <v>377</v>
      </c>
      <c r="D566" s="29" t="s">
        <v>89</v>
      </c>
      <c r="E566" s="29"/>
      <c r="F566" s="30">
        <f>41851+6993</f>
        <v>48844</v>
      </c>
      <c r="G566" s="15">
        <f t="shared" si="9"/>
        <v>1378.8246100000033</v>
      </c>
      <c r="H566" s="31">
        <v>50222.824610000003</v>
      </c>
      <c r="I566" s="31">
        <v>0</v>
      </c>
      <c r="J566" s="32">
        <v>0</v>
      </c>
    </row>
    <row r="567" spans="1:10" ht="38.25">
      <c r="A567" s="33" t="s">
        <v>370</v>
      </c>
      <c r="B567" s="34" t="s">
        <v>367</v>
      </c>
      <c r="C567" s="34" t="s">
        <v>377</v>
      </c>
      <c r="D567" s="34" t="s">
        <v>371</v>
      </c>
      <c r="E567" s="34"/>
      <c r="F567" s="30">
        <f>41851+6993</f>
        <v>48844</v>
      </c>
      <c r="G567" s="15">
        <f t="shared" si="9"/>
        <v>1378.8246100000033</v>
      </c>
      <c r="H567" s="31">
        <v>50222.824610000003</v>
      </c>
      <c r="I567" s="31">
        <v>0</v>
      </c>
      <c r="J567" s="32">
        <v>0</v>
      </c>
    </row>
    <row r="568" spans="1:10" ht="51">
      <c r="A568" s="79" t="s">
        <v>712</v>
      </c>
      <c r="B568" s="43" t="s">
        <v>367</v>
      </c>
      <c r="C568" s="43" t="s">
        <v>377</v>
      </c>
      <c r="D568" s="43" t="s">
        <v>697</v>
      </c>
      <c r="E568" s="43"/>
      <c r="F568" s="30">
        <v>0</v>
      </c>
      <c r="G568" s="15">
        <f t="shared" si="9"/>
        <v>1378.7746099999999</v>
      </c>
      <c r="H568" s="31">
        <v>1378.7746099999999</v>
      </c>
      <c r="I568" s="31">
        <v>0</v>
      </c>
      <c r="J568" s="32">
        <v>0</v>
      </c>
    </row>
    <row r="569" spans="1:10" ht="51">
      <c r="A569" s="80" t="s">
        <v>712</v>
      </c>
      <c r="B569" s="44" t="s">
        <v>367</v>
      </c>
      <c r="C569" s="44" t="s">
        <v>377</v>
      </c>
      <c r="D569" s="44" t="s">
        <v>697</v>
      </c>
      <c r="E569" s="44" t="s">
        <v>48</v>
      </c>
      <c r="F569" s="30">
        <v>0</v>
      </c>
      <c r="G569" s="15">
        <f t="shared" si="9"/>
        <v>1378.7746099999999</v>
      </c>
      <c r="H569" s="31">
        <v>1378.7746099999999</v>
      </c>
      <c r="I569" s="31">
        <v>0</v>
      </c>
      <c r="J569" s="32">
        <v>0</v>
      </c>
    </row>
    <row r="570" spans="1:10" ht="63.75">
      <c r="A570" s="35" t="s">
        <v>378</v>
      </c>
      <c r="B570" s="39" t="s">
        <v>367</v>
      </c>
      <c r="C570" s="39" t="s">
        <v>377</v>
      </c>
      <c r="D570" s="39" t="s">
        <v>379</v>
      </c>
      <c r="E570" s="39"/>
      <c r="F570" s="41">
        <f>38464+7089.9</f>
        <v>45553.9</v>
      </c>
      <c r="G570" s="15">
        <f t="shared" si="9"/>
        <v>0</v>
      </c>
      <c r="H570" s="31">
        <v>45553.9</v>
      </c>
      <c r="I570" s="31">
        <v>0</v>
      </c>
      <c r="J570" s="32">
        <v>0</v>
      </c>
    </row>
    <row r="571" spans="1:10" ht="63.75">
      <c r="A571" s="37" t="s">
        <v>542</v>
      </c>
      <c r="B571" s="40" t="s">
        <v>367</v>
      </c>
      <c r="C571" s="40" t="s">
        <v>377</v>
      </c>
      <c r="D571" s="40" t="s">
        <v>379</v>
      </c>
      <c r="E571" s="40" t="s">
        <v>48</v>
      </c>
      <c r="F571" s="30">
        <f>38464+7089.9</f>
        <v>45553.9</v>
      </c>
      <c r="G571" s="15">
        <f t="shared" si="9"/>
        <v>0</v>
      </c>
      <c r="H571" s="31">
        <v>45553.9</v>
      </c>
      <c r="I571" s="31">
        <v>0</v>
      </c>
      <c r="J571" s="32">
        <v>0</v>
      </c>
    </row>
    <row r="572" spans="1:10" ht="76.5">
      <c r="A572" s="35" t="s">
        <v>380</v>
      </c>
      <c r="B572" s="39" t="s">
        <v>367</v>
      </c>
      <c r="C572" s="39" t="s">
        <v>377</v>
      </c>
      <c r="D572" s="39" t="s">
        <v>381</v>
      </c>
      <c r="E572" s="39"/>
      <c r="F572" s="41">
        <f>3387-96.9</f>
        <v>3290.1</v>
      </c>
      <c r="G572" s="15">
        <f t="shared" si="9"/>
        <v>5.0000000000181899E-2</v>
      </c>
      <c r="H572" s="31">
        <v>3290.15</v>
      </c>
      <c r="I572" s="31">
        <v>0</v>
      </c>
      <c r="J572" s="32">
        <v>0</v>
      </c>
    </row>
    <row r="573" spans="1:10" ht="89.25">
      <c r="A573" s="37" t="s">
        <v>543</v>
      </c>
      <c r="B573" s="40" t="s">
        <v>367</v>
      </c>
      <c r="C573" s="40" t="s">
        <v>377</v>
      </c>
      <c r="D573" s="40" t="s">
        <v>381</v>
      </c>
      <c r="E573" s="40" t="s">
        <v>48</v>
      </c>
      <c r="F573" s="41">
        <f>3387-96.9</f>
        <v>3290.1</v>
      </c>
      <c r="G573" s="15">
        <f t="shared" si="9"/>
        <v>5.0000000000181899E-2</v>
      </c>
      <c r="H573" s="31">
        <v>3290.15</v>
      </c>
      <c r="I573" s="31">
        <v>0</v>
      </c>
      <c r="J573" s="32">
        <v>0</v>
      </c>
    </row>
    <row r="574" spans="1:10">
      <c r="A574" s="71" t="s">
        <v>679</v>
      </c>
      <c r="B574" s="72"/>
      <c r="C574" s="72"/>
      <c r="D574" s="72"/>
      <c r="E574" s="72"/>
      <c r="F574" s="72"/>
      <c r="G574" s="72"/>
      <c r="H574" s="73"/>
      <c r="I574" s="72">
        <v>6681.8</v>
      </c>
      <c r="J574" s="74">
        <v>14440.2</v>
      </c>
    </row>
    <row r="575" spans="1:10" ht="30.75" customHeight="1">
      <c r="A575" s="75" t="s">
        <v>382</v>
      </c>
      <c r="B575" s="76"/>
      <c r="C575" s="76"/>
      <c r="D575" s="76"/>
      <c r="E575" s="76"/>
      <c r="F575" s="77">
        <f>SUM(F7+F161+F174+F233+F294+F444+F474+F523+F546)</f>
        <v>1746905.8153399997</v>
      </c>
      <c r="G575" s="77">
        <f>SUM(H575-F575)</f>
        <v>-360208.89526999975</v>
      </c>
      <c r="H575" s="77">
        <f>1644798.12007-771.6-6.2-257323.4</f>
        <v>1386696.92007</v>
      </c>
      <c r="I575" s="77">
        <f>1229897.7+6681.8</f>
        <v>1236579.5</v>
      </c>
      <c r="J575" s="78">
        <f>873830.8+14440.2</f>
        <v>888271</v>
      </c>
    </row>
    <row r="576" spans="1:10">
      <c r="F576" s="6"/>
      <c r="G576" s="6"/>
    </row>
    <row r="577" spans="6:10">
      <c r="H577" s="9"/>
    </row>
    <row r="578" spans="6:10">
      <c r="H578" s="9"/>
    </row>
    <row r="579" spans="6:10">
      <c r="I579" s="11"/>
      <c r="J579" s="11"/>
    </row>
    <row r="580" spans="6:10">
      <c r="H580" s="9"/>
    </row>
    <row r="581" spans="6:10">
      <c r="H581" s="9"/>
    </row>
    <row r="582" spans="6:10">
      <c r="H582" s="9"/>
    </row>
    <row r="583" spans="6:10">
      <c r="F583" s="9"/>
    </row>
    <row r="587" spans="6:10">
      <c r="H587" s="9"/>
    </row>
  </sheetData>
  <autoFilter ref="E1:E594"/>
  <mergeCells count="10">
    <mergeCell ref="H1:J1"/>
    <mergeCell ref="A2:J2"/>
    <mergeCell ref="A3:J3"/>
    <mergeCell ref="A4:A5"/>
    <mergeCell ref="B4:B5"/>
    <mergeCell ref="C4:C5"/>
    <mergeCell ref="E4:E5"/>
    <mergeCell ref="F4:H4"/>
    <mergeCell ref="I4:J4"/>
    <mergeCell ref="D4:D5"/>
  </mergeCells>
  <pageMargins left="0.7" right="0.5" top="0.51" bottom="0.75" header="0.3" footer="0.3"/>
  <pageSetup paperSize="9" scale="5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ФУНКЦИОНАЛЬНАЯ тыс.рублей (копия от 24.02.2022 2_29_45)&lt;/DocName&gt;&#10;  &lt;VariantName&gt;Исполнение бюджета Хохольский ФУНКЦИОНАЛЬНАЯ тыс.рублей (копия от 24.02.2022 2:29:45)&lt;/VariantName&gt;&#10;  &lt;VariantLink xsi:nil=&quot;true&quot; /&gt;&#10;  &lt;ReportCode&gt;MAKET_a80ba16d_25d1_44c6_b4d1_a653b009895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0C2DBC-854E-4148-9D5C-22A29A4346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finotdel1</cp:lastModifiedBy>
  <cp:lastPrinted>2025-01-14T20:35:53Z</cp:lastPrinted>
  <dcterms:created xsi:type="dcterms:W3CDTF">2023-04-11T14:43:57Z</dcterms:created>
  <dcterms:modified xsi:type="dcterms:W3CDTF">2025-01-14T20:35:55Z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(копия от 24.02.2022 2_29_45)</vt:lpwstr>
  </property>
  <property fmtid="{D5CDD505-2E9C-101B-9397-08002B2CF9AE}" pid="3" name="Название отчета">
    <vt:lpwstr>Исполнение бюджета Хохольский ФУНКЦИОНАЛЬНАЯ тыс.рублей (копия от 24.02.2022 22945).xlsx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