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Документ!$E$1:$E$413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53" i="2"/>
  <c r="H254"/>
  <c r="H255"/>
  <c r="H409"/>
  <c r="H407"/>
  <c r="H406"/>
  <c r="H405"/>
  <c r="H404"/>
  <c r="H401"/>
  <c r="H393"/>
  <c r="H391"/>
  <c r="H388"/>
  <c r="H387"/>
  <c r="H354"/>
  <c r="H353"/>
  <c r="H352"/>
  <c r="G345"/>
  <c r="G344"/>
  <c r="H336"/>
  <c r="H335"/>
  <c r="H329"/>
  <c r="H327"/>
  <c r="H326"/>
  <c r="H325"/>
  <c r="H324"/>
  <c r="H323"/>
  <c r="H322"/>
  <c r="H321"/>
  <c r="H320"/>
  <c r="H317"/>
  <c r="H316"/>
  <c r="H298"/>
  <c r="H289"/>
  <c r="H288"/>
  <c r="H287"/>
  <c r="H286"/>
  <c r="H283"/>
  <c r="H284"/>
  <c r="H280"/>
  <c r="H279"/>
  <c r="H278"/>
  <c r="H275"/>
  <c r="H276"/>
  <c r="H272"/>
  <c r="H271"/>
  <c r="H263"/>
  <c r="H264"/>
  <c r="H262"/>
  <c r="H261"/>
  <c r="H256"/>
  <c r="H252"/>
  <c r="H251"/>
  <c r="G250" l="1"/>
  <c r="G249"/>
  <c r="H242"/>
  <c r="H241"/>
  <c r="H207"/>
  <c r="H206"/>
  <c r="H203"/>
  <c r="H201"/>
  <c r="H200"/>
  <c r="H199"/>
  <c r="H198"/>
  <c r="H196"/>
  <c r="H195"/>
  <c r="H194"/>
  <c r="H191"/>
  <c r="H190"/>
  <c r="H189"/>
  <c r="H188"/>
  <c r="H187"/>
  <c r="H186"/>
  <c r="J166"/>
  <c r="H165"/>
  <c r="H164"/>
  <c r="H162"/>
  <c r="H160"/>
  <c r="H159"/>
  <c r="H158"/>
  <c r="H157"/>
  <c r="H156"/>
  <c r="H151"/>
  <c r="H152"/>
  <c r="H136"/>
  <c r="H137"/>
  <c r="H135"/>
  <c r="H128"/>
  <c r="H126"/>
  <c r="H125"/>
  <c r="H106"/>
  <c r="H101"/>
  <c r="H100"/>
  <c r="H98"/>
  <c r="H97"/>
  <c r="H96"/>
  <c r="H95"/>
  <c r="H94"/>
  <c r="H80"/>
  <c r="H79"/>
  <c r="H68"/>
  <c r="H65" l="1"/>
  <c r="H64"/>
  <c r="H61"/>
  <c r="H60"/>
  <c r="H51"/>
  <c r="H52"/>
  <c r="H50"/>
  <c r="H49"/>
  <c r="H45"/>
  <c r="H44"/>
  <c r="H43"/>
  <c r="H40"/>
  <c r="H39"/>
  <c r="H35"/>
  <c r="H37"/>
  <c r="H36"/>
  <c r="G42" l="1"/>
  <c r="G41"/>
  <c r="H26"/>
  <c r="H25"/>
  <c r="H20"/>
  <c r="H19"/>
  <c r="H16"/>
  <c r="H17"/>
  <c r="H9"/>
  <c r="H8"/>
  <c r="H7"/>
  <c r="F49" l="1"/>
  <c r="G377"/>
  <c r="G374"/>
  <c r="G342"/>
  <c r="G339"/>
  <c r="G338"/>
  <c r="G337"/>
  <c r="G319"/>
  <c r="G318"/>
  <c r="G306"/>
  <c r="G305"/>
  <c r="G274"/>
  <c r="G273"/>
  <c r="G248"/>
  <c r="G247"/>
  <c r="G205"/>
  <c r="G204"/>
  <c r="G193"/>
  <c r="G192"/>
  <c r="G183"/>
  <c r="G180"/>
  <c r="G179"/>
  <c r="G178"/>
  <c r="G146"/>
  <c r="G109"/>
  <c r="G108"/>
  <c r="G107"/>
  <c r="G56"/>
  <c r="G55"/>
  <c r="G54"/>
  <c r="G27"/>
  <c r="G29"/>
  <c r="G28"/>
  <c r="F407"/>
  <c r="F404"/>
  <c r="F401"/>
  <c r="F397"/>
  <c r="F396"/>
  <c r="F392"/>
  <c r="F391"/>
  <c r="F388"/>
  <c r="F387"/>
  <c r="F383"/>
  <c r="F382"/>
  <c r="F381"/>
  <c r="F369"/>
  <c r="F368"/>
  <c r="F367"/>
  <c r="F334"/>
  <c r="F333"/>
  <c r="F332"/>
  <c r="F331"/>
  <c r="F330"/>
  <c r="F313"/>
  <c r="F312"/>
  <c r="F311"/>
  <c r="F308"/>
  <c r="F307"/>
  <c r="F304"/>
  <c r="F303"/>
  <c r="F298"/>
  <c r="F294"/>
  <c r="F289"/>
  <c r="F280"/>
  <c r="F271"/>
  <c r="F264"/>
  <c r="F263"/>
  <c r="F262"/>
  <c r="F261"/>
  <c r="F256"/>
  <c r="F252"/>
  <c r="F251"/>
  <c r="F240"/>
  <c r="F239"/>
  <c r="F230"/>
  <c r="F229"/>
  <c r="F228"/>
  <c r="F227"/>
  <c r="F220"/>
  <c r="F219"/>
  <c r="F215"/>
  <c r="F214"/>
  <c r="F213"/>
  <c r="F211"/>
  <c r="F207"/>
  <c r="F206"/>
  <c r="F203"/>
  <c r="F198"/>
  <c r="F195"/>
  <c r="F194"/>
  <c r="F191"/>
  <c r="F186"/>
  <c r="F162"/>
  <c r="F160"/>
  <c r="F159"/>
  <c r="F158"/>
  <c r="F157"/>
  <c r="F156"/>
  <c r="F152"/>
  <c r="F151"/>
  <c r="F140"/>
  <c r="F139"/>
  <c r="F138"/>
  <c r="F128"/>
  <c r="F126"/>
  <c r="F125"/>
  <c r="F106"/>
  <c r="F101"/>
  <c r="F100"/>
  <c r="F96"/>
  <c r="F95"/>
  <c r="F94"/>
  <c r="F80"/>
  <c r="F79"/>
  <c r="F68"/>
  <c r="F65"/>
  <c r="F61"/>
  <c r="F60"/>
  <c r="F52"/>
  <c r="F50"/>
  <c r="F37"/>
  <c r="F35"/>
  <c r="F26"/>
  <c r="F25"/>
  <c r="F7"/>
  <c r="G403"/>
  <c r="G402"/>
  <c r="G390"/>
  <c r="G389"/>
  <c r="G371"/>
  <c r="G370"/>
  <c r="G300" l="1"/>
  <c r="G299"/>
  <c r="G232" l="1"/>
  <c r="G231"/>
  <c r="G222"/>
  <c r="G221"/>
  <c r="G124"/>
  <c r="G123"/>
  <c r="G122"/>
  <c r="G115"/>
  <c r="G114"/>
  <c r="G113"/>
  <c r="G82"/>
  <c r="G81"/>
  <c r="G93"/>
  <c r="G92"/>
  <c r="G91"/>
  <c r="G90"/>
  <c r="G63" l="1"/>
  <c r="G62"/>
  <c r="F409" l="1"/>
  <c r="G409" s="1"/>
  <c r="G67" l="1"/>
  <c r="G66"/>
  <c r="G310"/>
  <c r="G309"/>
  <c r="G282"/>
  <c r="G281"/>
  <c r="G234"/>
  <c r="G233"/>
  <c r="G224" l="1"/>
  <c r="G223"/>
  <c r="G207" l="1"/>
  <c r="G206"/>
  <c r="G203"/>
  <c r="G198"/>
  <c r="G186"/>
  <c r="G159"/>
  <c r="G158"/>
  <c r="G151"/>
  <c r="G140"/>
  <c r="G139"/>
  <c r="G138"/>
  <c r="G128"/>
  <c r="G126"/>
  <c r="G101"/>
  <c r="G100"/>
  <c r="G96"/>
  <c r="G95"/>
  <c r="G94"/>
  <c r="G68"/>
  <c r="G64"/>
  <c r="G65"/>
  <c r="G61"/>
  <c r="G60"/>
  <c r="G52"/>
  <c r="G50"/>
  <c r="G37"/>
  <c r="G35"/>
  <c r="G26"/>
  <c r="G7"/>
  <c r="G407"/>
  <c r="G406"/>
  <c r="G405"/>
  <c r="G404"/>
  <c r="G401"/>
  <c r="G400"/>
  <c r="G399"/>
  <c r="G398"/>
  <c r="G397"/>
  <c r="G396"/>
  <c r="G395"/>
  <c r="G394"/>
  <c r="G393"/>
  <c r="G392"/>
  <c r="G391"/>
  <c r="G388"/>
  <c r="G387"/>
  <c r="G386"/>
  <c r="G385"/>
  <c r="G384"/>
  <c r="G383"/>
  <c r="G382"/>
  <c r="G381"/>
  <c r="G380"/>
  <c r="G379"/>
  <c r="G378"/>
  <c r="G376"/>
  <c r="G375"/>
  <c r="G373"/>
  <c r="G372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3"/>
  <c r="G341"/>
  <c r="G340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7"/>
  <c r="G316"/>
  <c r="G315"/>
  <c r="G314"/>
  <c r="G313"/>
  <c r="G312"/>
  <c r="G311"/>
  <c r="G308"/>
  <c r="G307"/>
  <c r="G304"/>
  <c r="G303"/>
  <c r="G302"/>
  <c r="G301"/>
  <c r="G298"/>
  <c r="G297"/>
  <c r="G296"/>
  <c r="G295"/>
  <c r="G294"/>
  <c r="G293"/>
  <c r="G292"/>
  <c r="G291"/>
  <c r="G290"/>
  <c r="G289"/>
  <c r="G288"/>
  <c r="G287"/>
  <c r="G286"/>
  <c r="G285"/>
  <c r="G284"/>
  <c r="G283"/>
  <c r="G280"/>
  <c r="G279"/>
  <c r="G278"/>
  <c r="G277"/>
  <c r="G276"/>
  <c r="G275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46"/>
  <c r="G245"/>
  <c r="G244"/>
  <c r="G243"/>
  <c r="G242"/>
  <c r="G241"/>
  <c r="G240"/>
  <c r="G239"/>
  <c r="G238"/>
  <c r="G237"/>
  <c r="G236"/>
  <c r="G235"/>
  <c r="G230"/>
  <c r="G229"/>
  <c r="G228"/>
  <c r="G227"/>
  <c r="G226"/>
  <c r="G225"/>
  <c r="G220"/>
  <c r="G219"/>
  <c r="G218"/>
  <c r="G217"/>
  <c r="G216"/>
  <c r="G215"/>
  <c r="G214"/>
  <c r="G213"/>
  <c r="G212"/>
  <c r="G211"/>
  <c r="G210"/>
  <c r="G209"/>
  <c r="G208"/>
  <c r="G202"/>
  <c r="G201"/>
  <c r="G200"/>
  <c r="G199"/>
  <c r="G197"/>
  <c r="G196"/>
  <c r="G195"/>
  <c r="G194"/>
  <c r="G191"/>
  <c r="G190"/>
  <c r="G189"/>
  <c r="G188"/>
  <c r="G187"/>
  <c r="G185"/>
  <c r="G184"/>
  <c r="G182"/>
  <c r="G181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7"/>
  <c r="G156"/>
  <c r="G155"/>
  <c r="G154"/>
  <c r="G153"/>
  <c r="G152"/>
  <c r="G150"/>
  <c r="G149"/>
  <c r="G148"/>
  <c r="G147"/>
  <c r="G145"/>
  <c r="G144"/>
  <c r="G143"/>
  <c r="G142"/>
  <c r="G141"/>
  <c r="G137"/>
  <c r="G136"/>
  <c r="G135"/>
  <c r="G134"/>
  <c r="G133"/>
  <c r="G132"/>
  <c r="G131"/>
  <c r="G130"/>
  <c r="G129"/>
  <c r="G127"/>
  <c r="G125"/>
  <c r="G121"/>
  <c r="G120"/>
  <c r="G119"/>
  <c r="G118"/>
  <c r="G117"/>
  <c r="G116"/>
  <c r="G112"/>
  <c r="G111"/>
  <c r="G110"/>
  <c r="G106"/>
  <c r="G105"/>
  <c r="G104"/>
  <c r="G103"/>
  <c r="G102"/>
  <c r="G99"/>
  <c r="G98"/>
  <c r="G97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59"/>
  <c r="G58"/>
  <c r="G57"/>
  <c r="G53"/>
  <c r="G51"/>
  <c r="G49"/>
  <c r="G48"/>
  <c r="G47"/>
  <c r="G46"/>
  <c r="G45"/>
  <c r="G44"/>
  <c r="G43"/>
  <c r="G40"/>
  <c r="G39"/>
  <c r="G38"/>
  <c r="G36"/>
  <c r="G34"/>
  <c r="G33"/>
  <c r="G32"/>
  <c r="G31"/>
  <c r="G30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<sst xmlns="http://schemas.openxmlformats.org/spreadsheetml/2006/main" count="1423" uniqueCount="631">
  <si>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</si>
  <si>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</si>
  <si>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</si>
  <si>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</si>
  <si>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</si>
  <si>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</si>
  <si>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</si>
  <si>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</si>
  <si>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</si>
  <si>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</si>
  <si>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</si>
  <si>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</si>
  <si>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</si>
  <si>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</si>
  <si>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</si>
  <si>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</si>
  <si>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</si>
  <si>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</si>
  <si>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</si>
  <si>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</si>
  <si>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</si>
  <si>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</si>
  <si>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</si>
  <si>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</si>
  <si>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</si>
  <si>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</si>
  <si>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</si>
  <si>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</si>
  <si>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</si>
  <si>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</si>
  <si>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</si>
  <si>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</si>
  <si>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</si>
  <si>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</si>
  <si>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</si>
  <si>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</si>
  <si>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</si>
  <si>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</si>
  <si>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</si>
  <si>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</si>
  <si>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</si>
  <si>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</si>
  <si>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</si>
  <si>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</si>
  <si>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</si>
  <si>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</si>
  <si>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</si>
  <si>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</si>
  <si>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</si>
  <si>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</si>
  <si>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</si>
  <si>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</si>
  <si>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</si>
  <si>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</si>
  <si>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</si>
  <si>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</si>
  <si>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</si>
  <si>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</si>
  <si>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</si>
  <si>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</si>
  <si>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</si>
  <si>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</si>
  <si>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</si>
  <si>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</si>
  <si>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</si>
  <si>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</si>
  <si>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</si>
  <si>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</si>
  <si>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</si>
  <si>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</si>
  <si>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</si>
  <si>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</si>
  <si>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</si>
  <si>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</si>
  <si>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</si>
  <si>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</si>
  <si>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</si>
  <si>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</si>
  <si>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</si>
  <si>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</si>
  <si>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</si>
  <si>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</si>
  <si>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</si>
  <si>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</si>
  <si>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</si>
  <si>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</si>
  <si>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</si>
  <si>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</si>
  <si>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</si>
  <si>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</si>
  <si>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</si>
  <si>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</si>
  <si>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</si>
  <si>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</si>
  <si>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</si>
  <si>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</si>
  <si>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</si>
  <si>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</si>
  <si>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</si>
  <si>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</si>
  <si>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</si>
  <si>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</si>
  <si>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</si>
  <si>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</si>
  <si>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</si>
  <si>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</si>
  <si>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</si>
  <si>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</si>
  <si>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</si>
  <si>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</si>
  <si>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</si>
  <si>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</si>
  <si>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</si>
  <si>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</si>
  <si>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</si>
  <si>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</si>
  <si>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</si>
  <si>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</si>
  <si>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</si>
  <si>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</si>
  <si>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</si>
  <si>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</si>
  <si>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</si>
  <si>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</si>
  <si>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</si>
  <si>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</si>
  <si>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</si>
  <si>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</si>
  <si>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</si>
  <si>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</si>
  <si>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</si>
  <si>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</si>
  <si>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</si>
  <si>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</si>
  <si>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</si>
  <si>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</si>
  <si>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</si>
  <si>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</si>
  <si>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</si>
  <si>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</si>
  <si>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</si>
  <si>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</si>
  <si>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</si>
  <si>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</si>
  <si>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</si>
  <si>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</si>
  <si>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</si>
  <si>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</si>
  <si>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</si>
  <si>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</si>
  <si>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</si>
  <si>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</si>
  <si>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</si>
  <si>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</si>
  <si>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</si>
  <si>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</si>
  <si>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</si>
  <si>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</si>
  <si>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</si>
  <si>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</si>
  <si>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</si>
  <si>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</si>
  <si>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</si>
  <si>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</si>
  <si>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</si>
  <si>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</si>
  <si>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</si>
  <si>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</si>
  <si>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</si>
  <si>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</si>
  <si>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</si>
  <si>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</si>
  <si>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</si>
  <si>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</si>
  <si>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</si>
  <si>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</si>
  <si>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</si>
  <si>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</si>
  <si>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</si>
  <si>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</si>
  <si>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</si>
  <si>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</si>
  <si>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</si>
  <si>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</si>
  <si>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</si>
  <si>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</si>
  <si>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</si>
  <si>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</si>
  <si>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</si>
  <si>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</si>
  <si>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</si>
  <si>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</si>
  <si>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</si>
  <si>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</si>
  <si>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</si>
  <si>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</si>
  <si>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</si>
  <si>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</si>
  <si>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</si>
  <si>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</si>
  <si>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</si>
  <si>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</si>
  <si>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</si>
  <si>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</si>
  <si>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</si>
  <si>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</si>
  <si>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</si>
  <si>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</si>
  <si>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</si>
  <si>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</si>
  <si>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</si>
  <si>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</si>
  <si>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</si>
  <si>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</si>
  <si>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</si>
  <si>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</si>
  <si>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</si>
  <si>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</si>
  <si>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</si>
  <si>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</si>
  <si>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</si>
  <si>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</si>
  <si>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</si>
  <si>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</si>
  <si>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</si>
  <si>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</si>
  <si>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</si>
  <si>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</si>
  <si>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</si>
  <si>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</si>
  <si>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</si>
  <si>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</si>
  <si>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</si>
  <si>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</si>
  <si>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</si>
  <si>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</si>
  <si>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</si>
  <si>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</si>
  <si>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</si>
  <si>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</si>
  <si>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</si>
  <si>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</si>
  <si>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</si>
  <si>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</si>
  <si>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</si>
  <si>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</si>
  <si>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</si>
  <si>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</si>
  <si>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</si>
  <si>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</si>
  <si>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</si>
  <si>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</si>
  <si>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</si>
  <si>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</si>
  <si>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</si>
  <si>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</si>
  <si>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</si>
  <si>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</si>
  <si>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</si>
  <si>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</si>
  <si>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</si>
  <si>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</si>
  <si>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</si>
  <si>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</si>
  <si>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</si>
  <si>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</si>
  <si>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</si>
  <si>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</si>
  <si>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</si>
  <si>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</si>
  <si>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</si>
  <si>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</si>
  <si>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</si>
  <si>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</si>
  <si>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</si>
  <si>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</si>
  <si>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</si>
  <si>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</si>
  <si>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</si>
  <si>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</si>
  <si>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</si>
  <si>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</si>
  <si>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</si>
  <si>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</si>
  <si>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</si>
  <si>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</si>
  <si>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</si>
  <si>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</si>
  <si>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</si>
  <si>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</si>
  <si>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</si>
  <si>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</si>
  <si>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</si>
  <si>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</si>
  <si>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</si>
  <si>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</si>
  <si>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</si>
  <si>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</si>
  <si>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</si>
  <si>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</si>
  <si>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</si>
  <si>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</si>
  <si>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</si>
  <si>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</si>
  <si>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</si>
  <si>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</si>
  <si>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</si>
  <si>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</si>
  <si>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</si>
  <si>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</si>
  <si>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</si>
  <si>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</si>
  <si>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</si>
  <si>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</si>
  <si>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</si>
  <si>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</si>
  <si>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</si>
  <si>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</si>
  <si>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</si>
  <si>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</si>
  <si>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</si>
  <si>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</si>
  <si>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</si>
  <si>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</si>
  <si>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</si>
  <si>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</si>
  <si>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</si>
  <si>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</si>
  <si>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</si>
  <si>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</si>
  <si>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</si>
  <si>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</si>
  <si>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</si>
  <si>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</si>
  <si>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</si>
  <si>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</si>
  <si>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</si>
  <si>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</si>
  <si>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</si>
  <si>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</si>
  <si>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</si>
  <si>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</si>
  <si>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</si>
  <si>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</si>
  <si>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</si>
  <si>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</si>
  <si>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</si>
  <si>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</si>
  <si>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</si>
  <si>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</si>
  <si>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</si>
  <si>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</si>
  <si>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</si>
  <si>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</si>
  <si>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</si>
  <si>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</si>
  <si>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</si>
  <si>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</si>
  <si>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</si>
  <si>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</si>
  <si>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</si>
  <si>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</si>
  <si>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</si>
  <si>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</si>
  <si>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</si>
  <si>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</si>
  <si>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</si>
  <si>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</si>
  <si>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</si>
  <si>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</si>
  <si>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</si>
  <si>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</si>
  <si>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</si>
  <si>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</si>
  <si>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</si>
  <si>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</si>
  <si>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</si>
  <si>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</si>
  <si>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</si>
  <si>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</si>
  <si>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</si>
  <si>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</si>
  <si>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</si>
  <si>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</si>
  <si>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</si>
  <si>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</si>
  <si>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</si>
  <si>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</si>
  <si>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</si>
  <si>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</si>
  <si>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</si>
  <si>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</si>
  <si>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</si>
  <si>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</si>
  <si>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</si>
  <si>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</si>
  <si>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</si>
  <si>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</si>
  <si>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</si>
  <si>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</si>
  <si>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</si>
  <si>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</si>
  <si>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</si>
  <si>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</si>
  <si>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</si>
  <si>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</si>
  <si>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</si>
  <si>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</si>
  <si>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</si>
  <si>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</si>
  <si>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</si>
  <si>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</si>
  <si>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</si>
  <si>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</si>
  <si>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</si>
  <si>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</si>
  <si>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</si>
  <si>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</si>
  <si>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</si>
  <si>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</si>
  <si>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</si>
  <si>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</si>
  <si>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</si>
  <si>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</si>
  <si>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</si>
  <si>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</si>
  <si>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</si>
  <si>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</si>
  <si>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</si>
  <si>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</si>
  <si>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</si>
  <si>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</si>
  <si>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</si>
  <si>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</si>
  <si>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</si>
  <si>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</si>
  <si>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</si>
  <si>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</si>
  <si>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</si>
  <si>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</si>
  <si>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</si>
  <si>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</si>
  <si>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</si>
  <si>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</si>
  <si>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</si>
  <si>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</si>
  <si>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</si>
  <si>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</si>
  <si>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</si>
  <si>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</si>
  <si>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</si>
  <si>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</si>
  <si>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</si>
  <si>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</si>
  <si>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</si>
  <si>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</si>
  <si>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</si>
  <si>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</si>
  <si>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</si>
  <si>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</si>
  <si>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</si>
  <si>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</si>
  <si>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</si>
  <si>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</si>
  <si>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</si>
  <si>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</si>
  <si>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</si>
  <si>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</si>
  <si>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</si>
  <si>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</si>
  <si>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</si>
  <si>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</si>
  <si>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</si>
  <si>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</si>
  <si>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</si>
  <si>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</si>
  <si>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</si>
  <si>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</si>
  <si>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</si>
  <si>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</si>
  <si>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</si>
  <si>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</si>
  <si>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</si>
  <si>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</si>
  <si>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</si>
  <si>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</si>
  <si>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</si>
  <si>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</si>
  <si>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</si>
  <si>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</si>
  <si>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</si>
  <si>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</si>
  <si>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</si>
  <si>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</si>
  <si>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</si>
  <si>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</si>
  <si>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</si>
  <si>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</si>
  <si>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</si>
  <si>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</si>
  <si>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</si>
  <si>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</si>
  <si>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</si>
  <si>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</si>
  <si>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</si>
  <si>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</si>
  <si>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</si>
  <si>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</si>
  <si>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</si>
  <si>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</si>
  <si>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</si>
  <si>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</si>
  <si>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</si>
  <si>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</si>
  <si>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</si>
  <si>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</si>
  <si>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</si>
  <si>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</si>
  <si>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</si>
  <si>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</si>
  <si>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</si>
  <si>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</si>
  <si>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</si>
  <si>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</si>
  <si>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</si>
  <si>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</si>
  <si>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</si>
  <si>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</si>
  <si>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</si>
  <si>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</si>
  <si>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</si>
  <si>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</si>
  <si>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</si>
  <si>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</si>
  <si>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</si>
  <si>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</si>
  <si>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</si>
  <si>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</si>
  <si>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</si>
  <si>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</si>
  <si>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</si>
  <si>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</si>
  <si>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</si>
  <si>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</si>
  <si>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</si>
  <si>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</si>
  <si>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</si>
  <si>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</si>
  <si>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</si>
  <si>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</si>
  <si>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</si>
  <si>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</si>
  <si>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</si>
  <si>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</si>
  <si>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</si>
  <si>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</si>
  <si>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</si>
  <si>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</si>
  <si>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</si>
  <si>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</si>
  <si>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</si>
  <si>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</si>
  <si>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</si>
  <si>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</si>
  <si>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</si>
  <si>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</si>
  <si>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</si>
  <si>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</si>
  <si>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</si>
  <si>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</si>
  <si>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</si>
  <si>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</si>
  <si>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</si>
  <si>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</si>
  <si>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</si>
  <si>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</si>
  <si>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</si>
  <si>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</si>
  <si>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</si>
  <si>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</si>
  <si>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</si>
  <si>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</si>
  <si>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</si>
  <si>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</si>
  <si>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</si>
  <si>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</si>
  <si>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</si>
  <si>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</si>
  <si>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</si>
  <si>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</si>
  <si>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</si>
  <si>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0330320570</t>
  </si>
  <si>
    <t>Компенсация дополнительных расходов по решению вышестоящего органа</t>
  </si>
  <si>
    <t>Компенсация дополнительных расходов по решению вышестоящего органа (Межбюджетные трансферты)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</si>
  <si>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</si>
  <si>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</si>
  <si>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</si>
  <si>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</si>
  <si>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</si>
  <si>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</si>
  <si>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</si>
  <si>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</si>
  <si>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</si>
  <si>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</si>
  <si>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</si>
  <si>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</si>
  <si>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</si>
  <si>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</si>
  <si>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0107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</si>
  <si>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</si>
  <si>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</si>
  <si>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</si>
  <si>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</si>
  <si>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</si>
  <si>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0250255490</t>
  </si>
  <si>
    <t>0270270100</t>
  </si>
  <si>
    <t>04003S8140</t>
  </si>
  <si>
    <t>0530155490</t>
  </si>
  <si>
    <t>0640155490</t>
  </si>
  <si>
    <t>0800120570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</si>
  <si>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</si>
  <si>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</si>
  <si>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0130180400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</si>
  <si>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</si>
  <si>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</si>
  <si>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</si>
  <si>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</si>
  <si>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</si>
  <si>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</si>
  <si>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</si>
  <si>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29  от "     31    "   октября    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</si>
</sst>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82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164" fontId="12" fillId="2" borderId="13" xfId="13" applyNumberFormat="1" applyFont="1" applyProtection="1">
      <alignment horizontal="right" vertical="top" shrinkToFit="1"/>
    </xf>
    <xf numFmtId="164" fontId="13" fillId="3" borderId="16" xfId="17" applyNumberFormat="1" applyFont="1" applyProtection="1">
      <alignment horizontal="right" vertical="top" shrinkToFit="1"/>
    </xf>
    <xf numFmtId="0" fontId="13" fillId="4" borderId="18" xfId="19" applyNumberFormat="1" applyFont="1" applyProtection="1">
      <alignment horizontal="left" vertical="top" wrapText="1"/>
    </xf>
    <xf numFmtId="49" fontId="13" fillId="4" borderId="19" xfId="20" applyNumberFormat="1" applyFont="1" applyProtection="1">
      <alignment horizontal="center" vertical="top" shrinkToFit="1"/>
    </xf>
    <xf numFmtId="164" fontId="13" fillId="4" borderId="19" xfId="21" applyNumberFormat="1" applyFont="1" applyProtection="1">
      <alignment horizontal="right" vertical="top" shrinkToFit="1"/>
    </xf>
    <xf numFmtId="49" fontId="14" fillId="0" borderId="19" xfId="24" applyNumberFormat="1" applyFont="1" applyProtection="1">
      <alignment horizontal="center" vertical="top" shrinkToFit="1"/>
    </xf>
    <xf numFmtId="164" fontId="14" fillId="0" borderId="19" xfId="25" applyNumberFormat="1" applyFont="1" applyProtection="1">
      <alignment horizontal="right" vertical="top" shrinkToFit="1"/>
    </xf>
    <xf numFmtId="49" fontId="14" fillId="0" borderId="19" xfId="28" applyNumberFormat="1" applyFont="1" applyProtection="1">
      <alignment horizontal="center" vertical="top" shrinkToFit="1"/>
    </xf>
    <xf numFmtId="0" fontId="14" fillId="0" borderId="30" xfId="53" applyNumberFormat="1" applyFont="1" applyProtection="1"/>
    <xf numFmtId="164" fontId="14" fillId="6" borderId="19" xfId="25" applyNumberFormat="1" applyFont="1" applyFill="1" applyProtection="1">
      <alignment horizontal="right" vertical="top" shrinkToFit="1"/>
    </xf>
    <xf numFmtId="0" fontId="0" fillId="6" borderId="0" xfId="0" applyFill="1" applyProtection="1">
      <protection locked="0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4" borderId="18" xfId="19" applyNumberFormat="1" applyFont="1" applyProtection="1">
      <alignment horizontal="left" vertical="top" wrapText="1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3"/>
  <sheetViews>
    <sheetView showGridLines="0" tabSelected="1" workbookViewId="0">
      <pane ySplit="6" topLeftCell="A373" activePane="bottomLeft" state="frozen"/>
      <selection pane="bottomLeft" activeCell="A358" sqref="A358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4" width="0" style="65" hidden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66" t="s">
        <v>630</v>
      </c>
      <c r="I1" s="66"/>
      <c r="J1" s="66"/>
    </row>
    <row r="2" spans="1:10" ht="58.5" customHeight="1">
      <c r="A2" s="67" t="s">
        <v>376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33" customHeight="1">
      <c r="A3" s="68" t="s">
        <v>0</v>
      </c>
      <c r="B3" s="69"/>
      <c r="C3" s="69"/>
      <c r="D3" s="69"/>
      <c r="E3" s="69"/>
      <c r="F3" s="69"/>
      <c r="G3" s="69"/>
      <c r="H3" s="69"/>
      <c r="I3" s="69"/>
      <c r="J3" s="69"/>
    </row>
    <row r="4" spans="1:10" ht="15.2" customHeight="1">
      <c r="A4" s="70" t="s">
        <v>1</v>
      </c>
      <c r="B4" s="76" t="s">
        <v>2</v>
      </c>
      <c r="C4" s="72" t="s">
        <v>3</v>
      </c>
      <c r="D4" s="72" t="s">
        <v>4</v>
      </c>
      <c r="E4" s="72" t="s">
        <v>5</v>
      </c>
      <c r="F4" s="78" t="s">
        <v>6</v>
      </c>
      <c r="G4" s="79"/>
      <c r="H4" s="80"/>
      <c r="I4" s="74" t="s">
        <v>7</v>
      </c>
      <c r="J4" s="75"/>
    </row>
    <row r="5" spans="1:10" ht="38.25">
      <c r="A5" s="71"/>
      <c r="B5" s="77"/>
      <c r="C5" s="73"/>
      <c r="D5" s="73"/>
      <c r="E5" s="73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f>65261.595+40</f>
        <v>65301.595000000001</v>
      </c>
      <c r="G7" s="11">
        <f>SUM(H7-F7)</f>
        <v>8815.2211299999908</v>
      </c>
      <c r="H7" s="55">
        <f>70270.11613+3846.7</f>
        <v>74116.816129999992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3582</v>
      </c>
      <c r="G8" s="13">
        <f>SUM(H8-F8)</f>
        <v>171.80000000000018</v>
      </c>
      <c r="H8" s="56">
        <f>3657+96.8</f>
        <v>3753.8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171.80000000000018</v>
      </c>
      <c r="H9" s="59">
        <f>3557+96.8</f>
        <v>3653.8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24</v>
      </c>
      <c r="H10" s="61">
        <v>566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93" si="0">SUM(H11-F11)</f>
        <v>24</v>
      </c>
      <c r="H11" s="61">
        <v>566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24</v>
      </c>
      <c r="H12" s="61">
        <v>556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24</v>
      </c>
      <c r="H13" s="61">
        <v>556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27</v>
      </c>
      <c r="H14" s="61">
        <v>538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27</v>
      </c>
      <c r="H15" s="61">
        <v>538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65.400000000000091</v>
      </c>
      <c r="H16" s="61">
        <f>1254.5+65.4</f>
        <v>1319.9</v>
      </c>
      <c r="I16" s="17">
        <v>0</v>
      </c>
      <c r="J16" s="22">
        <v>0</v>
      </c>
    </row>
    <row r="17" spans="1:11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65.400000000000091</v>
      </c>
      <c r="H17" s="61">
        <f>1189.5+65.4</f>
        <v>1254.9000000000001</v>
      </c>
      <c r="I17" s="17">
        <v>0</v>
      </c>
      <c r="J17" s="22">
        <v>0</v>
      </c>
      <c r="K17" s="65">
        <v>65.400000000000006</v>
      </c>
    </row>
    <row r="18" spans="1:11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61">
        <v>65</v>
      </c>
      <c r="I18" s="17">
        <v>0</v>
      </c>
      <c r="J18" s="22">
        <v>0</v>
      </c>
    </row>
    <row r="19" spans="1:11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31.399999999999977</v>
      </c>
      <c r="H19" s="61">
        <f>642.5+31.4</f>
        <v>673.9</v>
      </c>
      <c r="I19" s="17">
        <v>0</v>
      </c>
      <c r="J19" s="22">
        <v>0</v>
      </c>
    </row>
    <row r="20" spans="1:11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31.399999999999977</v>
      </c>
      <c r="H20" s="61">
        <f>570+31.4</f>
        <v>601.4</v>
      </c>
      <c r="I20" s="17">
        <v>0</v>
      </c>
      <c r="J20" s="22">
        <v>0</v>
      </c>
      <c r="K20" s="65">
        <v>31.4</v>
      </c>
    </row>
    <row r="21" spans="1:11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61">
        <v>72.5</v>
      </c>
      <c r="I21" s="17">
        <v>0</v>
      </c>
      <c r="J21" s="22">
        <v>0</v>
      </c>
    </row>
    <row r="22" spans="1:11" ht="38.25">
      <c r="A22" s="21" t="s">
        <v>33</v>
      </c>
      <c r="B22" s="14" t="s">
        <v>34</v>
      </c>
      <c r="C22" s="14"/>
      <c r="D22" s="14"/>
      <c r="E22" s="14"/>
      <c r="F22" s="15">
        <v>100</v>
      </c>
      <c r="G22" s="17">
        <f t="shared" si="0"/>
        <v>0</v>
      </c>
      <c r="H22" s="59">
        <v>100</v>
      </c>
      <c r="I22" s="15">
        <v>0</v>
      </c>
      <c r="J22" s="27">
        <v>0</v>
      </c>
    </row>
    <row r="23" spans="1:11" ht="114.75">
      <c r="A23" s="9" t="s">
        <v>35</v>
      </c>
      <c r="B23" s="16" t="s">
        <v>36</v>
      </c>
      <c r="C23" s="16"/>
      <c r="D23" s="16"/>
      <c r="E23" s="16"/>
      <c r="F23" s="17">
        <v>100</v>
      </c>
      <c r="G23" s="17">
        <f t="shared" si="0"/>
        <v>0</v>
      </c>
      <c r="H23" s="61">
        <v>100</v>
      </c>
      <c r="I23" s="17">
        <v>0</v>
      </c>
      <c r="J23" s="22">
        <v>0</v>
      </c>
    </row>
    <row r="24" spans="1:11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100</v>
      </c>
      <c r="G24" s="17">
        <f t="shared" si="0"/>
        <v>0</v>
      </c>
      <c r="H24" s="61">
        <v>100</v>
      </c>
      <c r="I24" s="17">
        <v>0</v>
      </c>
      <c r="J24" s="22">
        <v>0</v>
      </c>
    </row>
    <row r="25" spans="1:11" ht="38.25">
      <c r="A25" s="20" t="s">
        <v>40</v>
      </c>
      <c r="B25" s="12" t="s">
        <v>41</v>
      </c>
      <c r="C25" s="12"/>
      <c r="D25" s="12"/>
      <c r="E25" s="12"/>
      <c r="F25" s="13">
        <f>59019.795+1179.6</f>
        <v>60199.394999999997</v>
      </c>
      <c r="G25" s="17">
        <f t="shared" si="0"/>
        <v>4665.5541300000041</v>
      </c>
      <c r="H25" s="56">
        <f>61349.54913+3515.4</f>
        <v>64864.949130000001</v>
      </c>
      <c r="I25" s="13">
        <v>56018.6</v>
      </c>
      <c r="J25" s="26">
        <v>59566.1</v>
      </c>
    </row>
    <row r="26" spans="1:11" ht="63.75">
      <c r="A26" s="21" t="s">
        <v>42</v>
      </c>
      <c r="B26" s="14" t="s">
        <v>43</v>
      </c>
      <c r="C26" s="14"/>
      <c r="D26" s="14"/>
      <c r="E26" s="14"/>
      <c r="F26" s="15">
        <f>35353.195+559.6</f>
        <v>35912.794999999998</v>
      </c>
      <c r="G26" s="17">
        <f t="shared" si="0"/>
        <v>2984.9541300000055</v>
      </c>
      <c r="H26" s="59">
        <f>36682.94913+2214.8</f>
        <v>38897.749130000004</v>
      </c>
      <c r="I26" s="15">
        <v>32666</v>
      </c>
      <c r="J26" s="27">
        <v>31012.1</v>
      </c>
    </row>
    <row r="27" spans="1:11" ht="89.25">
      <c r="A27" s="9" t="s">
        <v>602</v>
      </c>
      <c r="B27" s="60" t="s">
        <v>603</v>
      </c>
      <c r="C27" s="60"/>
      <c r="D27" s="60"/>
      <c r="E27" s="60"/>
      <c r="F27" s="15">
        <v>0</v>
      </c>
      <c r="G27" s="17">
        <f t="shared" si="0"/>
        <v>788.35413000000005</v>
      </c>
      <c r="H27" s="61">
        <v>788.35413000000005</v>
      </c>
      <c r="I27" s="15">
        <v>0</v>
      </c>
      <c r="J27" s="27">
        <v>0</v>
      </c>
    </row>
    <row r="28" spans="1:11" ht="89.25">
      <c r="A28" s="10" t="s">
        <v>602</v>
      </c>
      <c r="B28" s="62" t="s">
        <v>603</v>
      </c>
      <c r="C28" s="62" t="s">
        <v>25</v>
      </c>
      <c r="D28" s="62" t="s">
        <v>26</v>
      </c>
      <c r="E28" s="62" t="s">
        <v>52</v>
      </c>
      <c r="F28" s="15">
        <v>0</v>
      </c>
      <c r="G28" s="17">
        <f t="shared" si="0"/>
        <v>82.542159999999996</v>
      </c>
      <c r="H28" s="61">
        <v>82.542159999999996</v>
      </c>
      <c r="I28" s="15">
        <v>0</v>
      </c>
      <c r="J28" s="27">
        <v>0</v>
      </c>
    </row>
    <row r="29" spans="1:11" ht="89.25">
      <c r="A29" s="10" t="s">
        <v>602</v>
      </c>
      <c r="B29" s="62" t="s">
        <v>603</v>
      </c>
      <c r="C29" s="62" t="s">
        <v>25</v>
      </c>
      <c r="D29" s="62" t="s">
        <v>26</v>
      </c>
      <c r="E29" s="62" t="s">
        <v>31</v>
      </c>
      <c r="F29" s="15">
        <v>0</v>
      </c>
      <c r="G29" s="17">
        <f t="shared" si="0"/>
        <v>705.81196999999997</v>
      </c>
      <c r="H29" s="61">
        <v>705.81196999999997</v>
      </c>
      <c r="I29" s="15">
        <v>0</v>
      </c>
      <c r="J29" s="27">
        <v>0</v>
      </c>
    </row>
    <row r="30" spans="1:11" ht="63.75">
      <c r="A30" s="9" t="s">
        <v>384</v>
      </c>
      <c r="B30" s="16" t="s">
        <v>385</v>
      </c>
      <c r="C30" s="16"/>
      <c r="D30" s="16"/>
      <c r="E30" s="16"/>
      <c r="F30" s="17">
        <v>1350.2</v>
      </c>
      <c r="G30" s="17">
        <f t="shared" si="0"/>
        <v>0</v>
      </c>
      <c r="H30" s="61">
        <v>1350.2</v>
      </c>
      <c r="I30" s="17">
        <v>0</v>
      </c>
      <c r="J30" s="22">
        <v>0</v>
      </c>
    </row>
    <row r="31" spans="1:11" ht="140.25">
      <c r="A31" s="10" t="s">
        <v>430</v>
      </c>
      <c r="B31" s="18" t="s">
        <v>385</v>
      </c>
      <c r="C31" s="18" t="s">
        <v>25</v>
      </c>
      <c r="D31" s="18" t="s">
        <v>26</v>
      </c>
      <c r="E31" s="18" t="s">
        <v>52</v>
      </c>
      <c r="F31" s="17">
        <v>238.3</v>
      </c>
      <c r="G31" s="17">
        <f t="shared" si="0"/>
        <v>0</v>
      </c>
      <c r="H31" s="61">
        <v>238.3</v>
      </c>
      <c r="I31" s="17">
        <v>0</v>
      </c>
      <c r="J31" s="22">
        <v>0</v>
      </c>
    </row>
    <row r="32" spans="1:11" ht="76.5">
      <c r="A32" s="10" t="s">
        <v>501</v>
      </c>
      <c r="B32" s="18" t="s">
        <v>385</v>
      </c>
      <c r="C32" s="18" t="s">
        <v>37</v>
      </c>
      <c r="D32" s="18" t="s">
        <v>38</v>
      </c>
      <c r="E32" s="18" t="s">
        <v>39</v>
      </c>
      <c r="F32" s="17">
        <v>1111.9000000000001</v>
      </c>
      <c r="G32" s="17">
        <f t="shared" si="0"/>
        <v>0</v>
      </c>
      <c r="H32" s="61">
        <v>1111.9000000000001</v>
      </c>
      <c r="I32" s="17">
        <v>0</v>
      </c>
      <c r="J32" s="22">
        <v>0</v>
      </c>
    </row>
    <row r="33" spans="1:11" ht="76.5">
      <c r="A33" s="9" t="s">
        <v>44</v>
      </c>
      <c r="B33" s="16" t="s">
        <v>45</v>
      </c>
      <c r="C33" s="16"/>
      <c r="D33" s="16"/>
      <c r="E33" s="16"/>
      <c r="F33" s="17">
        <v>3000</v>
      </c>
      <c r="G33" s="17">
        <f t="shared" si="0"/>
        <v>-18.199999999999818</v>
      </c>
      <c r="H33" s="61">
        <v>2981.8</v>
      </c>
      <c r="I33" s="17">
        <v>3000</v>
      </c>
      <c r="J33" s="22">
        <v>0</v>
      </c>
    </row>
    <row r="34" spans="1:11" ht="76.5">
      <c r="A34" s="10" t="s">
        <v>359</v>
      </c>
      <c r="B34" s="18" t="s">
        <v>45</v>
      </c>
      <c r="C34" s="18" t="s">
        <v>37</v>
      </c>
      <c r="D34" s="18" t="s">
        <v>26</v>
      </c>
      <c r="E34" s="18" t="s">
        <v>31</v>
      </c>
      <c r="F34" s="17">
        <v>3000</v>
      </c>
      <c r="G34" s="17">
        <f t="shared" si="0"/>
        <v>-18.199999999999818</v>
      </c>
      <c r="H34" s="61">
        <v>2981.8</v>
      </c>
      <c r="I34" s="17">
        <v>3000</v>
      </c>
      <c r="J34" s="22">
        <v>0</v>
      </c>
    </row>
    <row r="35" spans="1:11" ht="102">
      <c r="A35" s="9" t="s">
        <v>46</v>
      </c>
      <c r="B35" s="16" t="s">
        <v>47</v>
      </c>
      <c r="C35" s="16"/>
      <c r="D35" s="16"/>
      <c r="E35" s="16"/>
      <c r="F35" s="34">
        <f>28138.995+559.6</f>
        <v>28698.594999999998</v>
      </c>
      <c r="G35" s="17">
        <f t="shared" si="0"/>
        <v>1677.8000000000029</v>
      </c>
      <c r="H35" s="61">
        <f>28698.595+1677.8</f>
        <v>30376.395</v>
      </c>
      <c r="I35" s="17">
        <v>26771.3</v>
      </c>
      <c r="J35" s="22">
        <v>27297.599999999999</v>
      </c>
    </row>
    <row r="36" spans="1:11" ht="178.5">
      <c r="A36" s="10" t="s">
        <v>431</v>
      </c>
      <c r="B36" s="18" t="s">
        <v>47</v>
      </c>
      <c r="C36" s="18" t="s">
        <v>25</v>
      </c>
      <c r="D36" s="18" t="s">
        <v>26</v>
      </c>
      <c r="E36" s="18" t="s">
        <v>31</v>
      </c>
      <c r="F36" s="17">
        <v>25906.3609</v>
      </c>
      <c r="G36" s="17">
        <f t="shared" si="0"/>
        <v>1384.5564000000013</v>
      </c>
      <c r="H36" s="61">
        <f>25939.5173+1351.4</f>
        <v>27290.917300000001</v>
      </c>
      <c r="I36" s="17">
        <v>24319.599999999999</v>
      </c>
      <c r="J36" s="22">
        <v>24562.6</v>
      </c>
      <c r="K36" s="65">
        <v>1351.4</v>
      </c>
    </row>
    <row r="37" spans="1:11" ht="127.5">
      <c r="A37" s="10" t="s">
        <v>449</v>
      </c>
      <c r="B37" s="18" t="s">
        <v>47</v>
      </c>
      <c r="C37" s="18" t="s">
        <v>28</v>
      </c>
      <c r="D37" s="18" t="s">
        <v>26</v>
      </c>
      <c r="E37" s="18" t="s">
        <v>31</v>
      </c>
      <c r="F37" s="17">
        <f>2177.6341+559.6</f>
        <v>2737.2341000000001</v>
      </c>
      <c r="G37" s="17">
        <f t="shared" si="0"/>
        <v>348.24359999999979</v>
      </c>
      <c r="H37" s="61">
        <f>2759.0777+326.4</f>
        <v>3085.4776999999999</v>
      </c>
      <c r="I37" s="17">
        <v>2451.6999999999998</v>
      </c>
      <c r="J37" s="22">
        <v>2735</v>
      </c>
      <c r="K37" s="65">
        <v>326.39999999999998</v>
      </c>
    </row>
    <row r="38" spans="1:11" ht="114.75">
      <c r="A38" s="10" t="s">
        <v>541</v>
      </c>
      <c r="B38" s="18" t="s">
        <v>47</v>
      </c>
      <c r="C38" s="18" t="s">
        <v>49</v>
      </c>
      <c r="D38" s="18" t="s">
        <v>26</v>
      </c>
      <c r="E38" s="18" t="s">
        <v>31</v>
      </c>
      <c r="F38" s="17">
        <v>55</v>
      </c>
      <c r="G38" s="17">
        <f t="shared" si="0"/>
        <v>-55</v>
      </c>
      <c r="H38" s="61">
        <v>0</v>
      </c>
      <c r="I38" s="17">
        <v>0</v>
      </c>
      <c r="J38" s="22">
        <v>0</v>
      </c>
    </row>
    <row r="39" spans="1:11" ht="89.25">
      <c r="A39" s="9" t="s">
        <v>50</v>
      </c>
      <c r="B39" s="16" t="s">
        <v>51</v>
      </c>
      <c r="C39" s="16"/>
      <c r="D39" s="16"/>
      <c r="E39" s="16"/>
      <c r="F39" s="17">
        <v>2864</v>
      </c>
      <c r="G39" s="17">
        <f t="shared" si="0"/>
        <v>157</v>
      </c>
      <c r="H39" s="61">
        <f>2864+157</f>
        <v>3021</v>
      </c>
      <c r="I39" s="17">
        <v>2894.7</v>
      </c>
      <c r="J39" s="22">
        <v>3714.5</v>
      </c>
    </row>
    <row r="40" spans="1:11" ht="178.5">
      <c r="A40" s="10" t="s">
        <v>373</v>
      </c>
      <c r="B40" s="18" t="s">
        <v>51</v>
      </c>
      <c r="C40" s="18" t="s">
        <v>25</v>
      </c>
      <c r="D40" s="18" t="s">
        <v>26</v>
      </c>
      <c r="E40" s="18" t="s">
        <v>52</v>
      </c>
      <c r="F40" s="17">
        <v>2864</v>
      </c>
      <c r="G40" s="17">
        <f t="shared" si="0"/>
        <v>157</v>
      </c>
      <c r="H40" s="61">
        <f>2864+157</f>
        <v>3021</v>
      </c>
      <c r="I40" s="17">
        <v>2894.7</v>
      </c>
      <c r="J40" s="22">
        <v>3714.5</v>
      </c>
      <c r="K40" s="65">
        <v>157</v>
      </c>
    </row>
    <row r="41" spans="1:11" ht="76.5">
      <c r="A41" s="42" t="s">
        <v>606</v>
      </c>
      <c r="B41" s="47" t="s">
        <v>622</v>
      </c>
      <c r="C41" s="18"/>
      <c r="D41" s="47"/>
      <c r="E41" s="47"/>
      <c r="F41" s="17">
        <v>0</v>
      </c>
      <c r="G41" s="17">
        <f t="shared" si="0"/>
        <v>380</v>
      </c>
      <c r="H41" s="61">
        <v>380</v>
      </c>
      <c r="I41" s="17">
        <v>0</v>
      </c>
      <c r="J41" s="22">
        <v>0</v>
      </c>
    </row>
    <row r="42" spans="1:11" ht="89.25">
      <c r="A42" s="42" t="s">
        <v>623</v>
      </c>
      <c r="B42" s="47" t="s">
        <v>622</v>
      </c>
      <c r="C42" s="47" t="s">
        <v>37</v>
      </c>
      <c r="D42" s="47" t="s">
        <v>26</v>
      </c>
      <c r="E42" s="47" t="s">
        <v>608</v>
      </c>
      <c r="F42" s="17">
        <v>0</v>
      </c>
      <c r="G42" s="17">
        <f t="shared" si="0"/>
        <v>380</v>
      </c>
      <c r="H42" s="61">
        <v>380</v>
      </c>
      <c r="I42" s="17">
        <v>0</v>
      </c>
      <c r="J42" s="22">
        <v>0</v>
      </c>
      <c r="K42" s="65">
        <v>380</v>
      </c>
    </row>
    <row r="43" spans="1:11" ht="89.25">
      <c r="A43" s="21" t="s">
        <v>386</v>
      </c>
      <c r="B43" s="14" t="s">
        <v>53</v>
      </c>
      <c r="C43" s="14"/>
      <c r="D43" s="14"/>
      <c r="E43" s="14"/>
      <c r="F43" s="15">
        <v>2772.2</v>
      </c>
      <c r="G43" s="17">
        <f t="shared" si="0"/>
        <v>140.40000000000009</v>
      </c>
      <c r="H43" s="59">
        <f>2772.2+140.4</f>
        <v>2912.6</v>
      </c>
      <c r="I43" s="15">
        <v>3409.2</v>
      </c>
      <c r="J43" s="27">
        <v>3442.7</v>
      </c>
    </row>
    <row r="44" spans="1:11" ht="102">
      <c r="A44" s="9" t="s">
        <v>46</v>
      </c>
      <c r="B44" s="16" t="s">
        <v>54</v>
      </c>
      <c r="C44" s="16"/>
      <c r="D44" s="16"/>
      <c r="E44" s="16"/>
      <c r="F44" s="17">
        <v>2772.2</v>
      </c>
      <c r="G44" s="17">
        <f t="shared" si="0"/>
        <v>140.40000000000009</v>
      </c>
      <c r="H44" s="61">
        <f>2772.2+140.4</f>
        <v>2912.6</v>
      </c>
      <c r="I44" s="17">
        <v>3409.2</v>
      </c>
      <c r="J44" s="22">
        <v>3442.7</v>
      </c>
    </row>
    <row r="45" spans="1:11" ht="178.5">
      <c r="A45" s="10" t="s">
        <v>431</v>
      </c>
      <c r="B45" s="18" t="s">
        <v>54</v>
      </c>
      <c r="C45" s="18" t="s">
        <v>25</v>
      </c>
      <c r="D45" s="18" t="s">
        <v>26</v>
      </c>
      <c r="E45" s="18" t="s">
        <v>226</v>
      </c>
      <c r="F45" s="17">
        <v>2128.1999999999998</v>
      </c>
      <c r="G45" s="17">
        <f t="shared" si="0"/>
        <v>140.40000000000009</v>
      </c>
      <c r="H45" s="61">
        <f>2128.2+140.4</f>
        <v>2268.6</v>
      </c>
      <c r="I45" s="17">
        <v>2787.2</v>
      </c>
      <c r="J45" s="22">
        <v>2815.2</v>
      </c>
    </row>
    <row r="46" spans="1:11" ht="178.5">
      <c r="A46" s="10" t="s">
        <v>431</v>
      </c>
      <c r="B46" s="18" t="s">
        <v>54</v>
      </c>
      <c r="C46" s="18" t="s">
        <v>25</v>
      </c>
      <c r="D46" s="18" t="s">
        <v>26</v>
      </c>
      <c r="E46" s="18" t="s">
        <v>55</v>
      </c>
      <c r="F46" s="17">
        <v>579</v>
      </c>
      <c r="G46" s="17">
        <f t="shared" si="0"/>
        <v>0</v>
      </c>
      <c r="H46" s="61">
        <v>579</v>
      </c>
      <c r="I46" s="17">
        <v>557</v>
      </c>
      <c r="J46" s="22">
        <v>562.5</v>
      </c>
      <c r="K46" s="65">
        <v>140.4</v>
      </c>
    </row>
    <row r="47" spans="1:11" ht="127.5">
      <c r="A47" s="10" t="s">
        <v>449</v>
      </c>
      <c r="B47" s="18" t="s">
        <v>54</v>
      </c>
      <c r="C47" s="18" t="s">
        <v>28</v>
      </c>
      <c r="D47" s="18" t="s">
        <v>26</v>
      </c>
      <c r="E47" s="18" t="s">
        <v>226</v>
      </c>
      <c r="F47" s="17">
        <v>45</v>
      </c>
      <c r="G47" s="17">
        <f t="shared" si="0"/>
        <v>0</v>
      </c>
      <c r="H47" s="61">
        <v>45</v>
      </c>
      <c r="I47" s="17">
        <v>45</v>
      </c>
      <c r="J47" s="22">
        <v>45</v>
      </c>
    </row>
    <row r="48" spans="1:11" ht="127.5">
      <c r="A48" s="10" t="s">
        <v>449</v>
      </c>
      <c r="B48" s="18" t="s">
        <v>54</v>
      </c>
      <c r="C48" s="18" t="s">
        <v>28</v>
      </c>
      <c r="D48" s="18" t="s">
        <v>26</v>
      </c>
      <c r="E48" s="18" t="s">
        <v>55</v>
      </c>
      <c r="F48" s="17">
        <v>20</v>
      </c>
      <c r="G48" s="17">
        <f t="shared" si="0"/>
        <v>0</v>
      </c>
      <c r="H48" s="61">
        <v>20</v>
      </c>
      <c r="I48" s="17">
        <v>20</v>
      </c>
      <c r="J48" s="22">
        <v>20</v>
      </c>
    </row>
    <row r="49" spans="1:11" ht="51">
      <c r="A49" s="21" t="s">
        <v>56</v>
      </c>
      <c r="B49" s="14" t="s">
        <v>57</v>
      </c>
      <c r="C49" s="14"/>
      <c r="D49" s="14"/>
      <c r="E49" s="14"/>
      <c r="F49" s="35">
        <f>20833.4+620</f>
        <v>21453.4</v>
      </c>
      <c r="G49" s="17">
        <f t="shared" si="0"/>
        <v>1160.2000000000007</v>
      </c>
      <c r="H49" s="59">
        <f>21453.4+1160.2</f>
        <v>22613.600000000002</v>
      </c>
      <c r="I49" s="15">
        <v>19943.400000000001</v>
      </c>
      <c r="J49" s="27">
        <v>25031.5</v>
      </c>
    </row>
    <row r="50" spans="1:11" ht="76.5">
      <c r="A50" s="9" t="s">
        <v>58</v>
      </c>
      <c r="B50" s="16" t="s">
        <v>59</v>
      </c>
      <c r="C50" s="16"/>
      <c r="D50" s="16"/>
      <c r="E50" s="16"/>
      <c r="F50" s="17">
        <f>20833.4+620</f>
        <v>21453.4</v>
      </c>
      <c r="G50" s="17">
        <f t="shared" si="0"/>
        <v>1160.2000000000007</v>
      </c>
      <c r="H50" s="61">
        <f>21453.4+1160.2</f>
        <v>22613.600000000002</v>
      </c>
      <c r="I50" s="17">
        <v>19943.400000000001</v>
      </c>
      <c r="J50" s="22">
        <v>25031.5</v>
      </c>
    </row>
    <row r="51" spans="1:11" ht="153">
      <c r="A51" s="10" t="s">
        <v>432</v>
      </c>
      <c r="B51" s="18" t="s">
        <v>59</v>
      </c>
      <c r="C51" s="18" t="s">
        <v>25</v>
      </c>
      <c r="D51" s="18" t="s">
        <v>26</v>
      </c>
      <c r="E51" s="18" t="s">
        <v>27</v>
      </c>
      <c r="F51" s="17">
        <v>16183.1</v>
      </c>
      <c r="G51" s="17">
        <f t="shared" si="0"/>
        <v>889.89999999999964</v>
      </c>
      <c r="H51" s="61">
        <f>16183.1+889.9</f>
        <v>17073</v>
      </c>
      <c r="I51" s="17">
        <v>14487.1</v>
      </c>
      <c r="J51" s="22">
        <v>18989.8</v>
      </c>
      <c r="K51" s="65">
        <v>889.9</v>
      </c>
    </row>
    <row r="52" spans="1:11" ht="102">
      <c r="A52" s="10" t="s">
        <v>450</v>
      </c>
      <c r="B52" s="18" t="s">
        <v>59</v>
      </c>
      <c r="C52" s="18" t="s">
        <v>28</v>
      </c>
      <c r="D52" s="18" t="s">
        <v>26</v>
      </c>
      <c r="E52" s="18" t="s">
        <v>27</v>
      </c>
      <c r="F52" s="17">
        <f>4562.3+620</f>
        <v>5182.3</v>
      </c>
      <c r="G52" s="17">
        <f t="shared" si="0"/>
        <v>270.30000000000018</v>
      </c>
      <c r="H52" s="61">
        <f>5182.3+270.3</f>
        <v>5452.6</v>
      </c>
      <c r="I52" s="17">
        <v>5372.3</v>
      </c>
      <c r="J52" s="22">
        <v>5961.7</v>
      </c>
      <c r="K52" s="65">
        <v>270.3</v>
      </c>
    </row>
    <row r="53" spans="1:11" ht="89.25">
      <c r="A53" s="10" t="s">
        <v>542</v>
      </c>
      <c r="B53" s="18" t="s">
        <v>59</v>
      </c>
      <c r="C53" s="18" t="s">
        <v>49</v>
      </c>
      <c r="D53" s="18" t="s">
        <v>26</v>
      </c>
      <c r="E53" s="18" t="s">
        <v>27</v>
      </c>
      <c r="F53" s="17">
        <v>88</v>
      </c>
      <c r="G53" s="17">
        <f t="shared" si="0"/>
        <v>0</v>
      </c>
      <c r="H53" s="61">
        <v>88</v>
      </c>
      <c r="I53" s="17">
        <v>84</v>
      </c>
      <c r="J53" s="22">
        <v>80</v>
      </c>
    </row>
    <row r="54" spans="1:11" ht="51">
      <c r="A54" s="57" t="s">
        <v>604</v>
      </c>
      <c r="B54" s="58" t="s">
        <v>605</v>
      </c>
      <c r="C54" s="58"/>
      <c r="D54" s="58"/>
      <c r="E54" s="58"/>
      <c r="F54" s="17">
        <v>0</v>
      </c>
      <c r="G54" s="17">
        <f t="shared" si="0"/>
        <v>380</v>
      </c>
      <c r="H54" s="59">
        <v>380</v>
      </c>
      <c r="I54" s="17">
        <v>0</v>
      </c>
      <c r="J54" s="22">
        <v>0</v>
      </c>
    </row>
    <row r="55" spans="1:11" ht="76.5">
      <c r="A55" s="9" t="s">
        <v>606</v>
      </c>
      <c r="B55" s="60" t="s">
        <v>607</v>
      </c>
      <c r="C55" s="60"/>
      <c r="D55" s="60"/>
      <c r="E55" s="60"/>
      <c r="F55" s="17">
        <v>0</v>
      </c>
      <c r="G55" s="17">
        <f t="shared" si="0"/>
        <v>380</v>
      </c>
      <c r="H55" s="61">
        <v>380</v>
      </c>
      <c r="I55" s="17">
        <v>0</v>
      </c>
      <c r="J55" s="22">
        <v>0</v>
      </c>
    </row>
    <row r="56" spans="1:11" ht="76.5">
      <c r="A56" s="10" t="s">
        <v>606</v>
      </c>
      <c r="B56" s="62" t="s">
        <v>607</v>
      </c>
      <c r="C56" s="62" t="s">
        <v>37</v>
      </c>
      <c r="D56" s="62" t="s">
        <v>26</v>
      </c>
      <c r="E56" s="62" t="s">
        <v>608</v>
      </c>
      <c r="F56" s="17">
        <v>0</v>
      </c>
      <c r="G56" s="17">
        <f t="shared" si="0"/>
        <v>380</v>
      </c>
      <c r="H56" s="61">
        <v>380</v>
      </c>
      <c r="I56" s="17">
        <v>0</v>
      </c>
      <c r="J56" s="22">
        <v>0</v>
      </c>
    </row>
    <row r="57" spans="1:11" ht="51">
      <c r="A57" s="21" t="s">
        <v>387</v>
      </c>
      <c r="B57" s="14" t="s">
        <v>388</v>
      </c>
      <c r="C57" s="14"/>
      <c r="D57" s="14"/>
      <c r="E57" s="14"/>
      <c r="F57" s="15">
        <v>61</v>
      </c>
      <c r="G57" s="17">
        <f t="shared" si="0"/>
        <v>0</v>
      </c>
      <c r="H57" s="59">
        <v>61</v>
      </c>
      <c r="I57" s="15">
        <v>0</v>
      </c>
      <c r="J57" s="27">
        <v>79.8</v>
      </c>
    </row>
    <row r="58" spans="1:11" ht="38.25">
      <c r="A58" s="9" t="s">
        <v>389</v>
      </c>
      <c r="B58" s="16" t="s">
        <v>390</v>
      </c>
      <c r="C58" s="16"/>
      <c r="D58" s="16"/>
      <c r="E58" s="16"/>
      <c r="F58" s="17">
        <v>61</v>
      </c>
      <c r="G58" s="17">
        <f t="shared" si="0"/>
        <v>0</v>
      </c>
      <c r="H58" s="61">
        <v>61</v>
      </c>
      <c r="I58" s="17">
        <v>0</v>
      </c>
      <c r="J58" s="22">
        <v>79.8</v>
      </c>
    </row>
    <row r="59" spans="1:11" ht="63.75">
      <c r="A59" s="10" t="s">
        <v>451</v>
      </c>
      <c r="B59" s="18" t="s">
        <v>390</v>
      </c>
      <c r="C59" s="18" t="s">
        <v>28</v>
      </c>
      <c r="D59" s="18" t="s">
        <v>26</v>
      </c>
      <c r="E59" s="18" t="s">
        <v>391</v>
      </c>
      <c r="F59" s="17">
        <v>61</v>
      </c>
      <c r="G59" s="17">
        <f t="shared" si="0"/>
        <v>0</v>
      </c>
      <c r="H59" s="61">
        <v>61</v>
      </c>
      <c r="I59" s="17">
        <v>0</v>
      </c>
      <c r="J59" s="22">
        <v>79.8</v>
      </c>
    </row>
    <row r="60" spans="1:11" ht="38.25">
      <c r="A60" s="20" t="s">
        <v>365</v>
      </c>
      <c r="B60" s="12" t="s">
        <v>60</v>
      </c>
      <c r="C60" s="12"/>
      <c r="D60" s="12"/>
      <c r="E60" s="12"/>
      <c r="F60" s="36">
        <f>1480.2+40</f>
        <v>1520.2</v>
      </c>
      <c r="G60" s="17">
        <f t="shared" si="0"/>
        <v>3977.8670000000002</v>
      </c>
      <c r="H60" s="56">
        <f>5263.567+234.5</f>
        <v>5498.067</v>
      </c>
      <c r="I60" s="13">
        <v>1000</v>
      </c>
      <c r="J60" s="26">
        <v>1000</v>
      </c>
    </row>
    <row r="61" spans="1:11" ht="89.25">
      <c r="A61" s="21" t="s">
        <v>61</v>
      </c>
      <c r="B61" s="14" t="s">
        <v>62</v>
      </c>
      <c r="C61" s="14"/>
      <c r="D61" s="14"/>
      <c r="E61" s="14"/>
      <c r="F61" s="15">
        <f>1426.2+40</f>
        <v>1466.2</v>
      </c>
      <c r="G61" s="17">
        <f t="shared" si="0"/>
        <v>4031.8670000000002</v>
      </c>
      <c r="H61" s="59">
        <f>5263.567+234.5</f>
        <v>5498.067</v>
      </c>
      <c r="I61" s="15">
        <v>1000</v>
      </c>
      <c r="J61" s="27">
        <v>1000</v>
      </c>
    </row>
    <row r="62" spans="1:11" ht="25.5">
      <c r="A62" s="45" t="s">
        <v>572</v>
      </c>
      <c r="B62" s="38" t="s">
        <v>571</v>
      </c>
      <c r="C62" s="53"/>
      <c r="D62" s="53"/>
      <c r="E62" s="53"/>
      <c r="F62" s="39">
        <v>40</v>
      </c>
      <c r="G62" s="17">
        <f t="shared" si="0"/>
        <v>790</v>
      </c>
      <c r="H62" s="61">
        <v>830</v>
      </c>
      <c r="I62" s="39">
        <v>0</v>
      </c>
      <c r="J62" s="41">
        <v>0</v>
      </c>
    </row>
    <row r="63" spans="1:11" ht="63.75">
      <c r="A63" s="45" t="s">
        <v>573</v>
      </c>
      <c r="B63" s="38" t="s">
        <v>571</v>
      </c>
      <c r="C63" s="38" t="s">
        <v>65</v>
      </c>
      <c r="D63" s="38" t="s">
        <v>66</v>
      </c>
      <c r="E63" s="38" t="s">
        <v>67</v>
      </c>
      <c r="F63" s="39">
        <v>40</v>
      </c>
      <c r="G63" s="17">
        <f t="shared" si="0"/>
        <v>790</v>
      </c>
      <c r="H63" s="61">
        <v>830</v>
      </c>
      <c r="I63" s="39">
        <v>0</v>
      </c>
      <c r="J63" s="41">
        <v>0</v>
      </c>
    </row>
    <row r="64" spans="1:11" ht="76.5">
      <c r="A64" s="9" t="s">
        <v>63</v>
      </c>
      <c r="B64" s="16" t="s">
        <v>64</v>
      </c>
      <c r="C64" s="16"/>
      <c r="D64" s="16"/>
      <c r="E64" s="16"/>
      <c r="F64" s="34">
        <v>1420.2</v>
      </c>
      <c r="G64" s="17">
        <f t="shared" si="0"/>
        <v>234.5</v>
      </c>
      <c r="H64" s="61">
        <f>1420.2+234.5</f>
        <v>1654.7</v>
      </c>
      <c r="I64" s="17">
        <v>1000</v>
      </c>
      <c r="J64" s="22">
        <v>1000</v>
      </c>
    </row>
    <row r="65" spans="1:11" ht="114.75">
      <c r="A65" s="10" t="s">
        <v>519</v>
      </c>
      <c r="B65" s="18" t="s">
        <v>64</v>
      </c>
      <c r="C65" s="18" t="s">
        <v>65</v>
      </c>
      <c r="D65" s="18" t="s">
        <v>66</v>
      </c>
      <c r="E65" s="18" t="s">
        <v>67</v>
      </c>
      <c r="F65" s="17">
        <f>1172.8+247.4</f>
        <v>1420.2</v>
      </c>
      <c r="G65" s="17">
        <f t="shared" si="0"/>
        <v>234.5</v>
      </c>
      <c r="H65" s="61">
        <f>1420.2+234.5</f>
        <v>1654.7</v>
      </c>
      <c r="I65" s="17">
        <v>1000</v>
      </c>
      <c r="J65" s="22">
        <v>1000</v>
      </c>
      <c r="K65" s="65">
        <v>234.5</v>
      </c>
    </row>
    <row r="66" spans="1:11" ht="76.5">
      <c r="A66" s="42" t="s">
        <v>563</v>
      </c>
      <c r="B66" s="51" t="s">
        <v>565</v>
      </c>
      <c r="C66" s="18"/>
      <c r="D66" s="18"/>
      <c r="E66" s="18"/>
      <c r="F66" s="17">
        <v>60</v>
      </c>
      <c r="G66" s="17">
        <f t="shared" si="0"/>
        <v>2953.3670000000002</v>
      </c>
      <c r="H66" s="61">
        <v>3013.3670000000002</v>
      </c>
      <c r="I66" s="17">
        <v>0</v>
      </c>
      <c r="J66" s="22">
        <v>0</v>
      </c>
    </row>
    <row r="67" spans="1:11" ht="114.75">
      <c r="A67" s="50" t="s">
        <v>564</v>
      </c>
      <c r="B67" s="51" t="s">
        <v>565</v>
      </c>
      <c r="C67" s="47" t="s">
        <v>65</v>
      </c>
      <c r="D67" s="47" t="s">
        <v>566</v>
      </c>
      <c r="E67" s="47" t="s">
        <v>67</v>
      </c>
      <c r="F67" s="17">
        <v>60</v>
      </c>
      <c r="G67" s="17">
        <f t="shared" si="0"/>
        <v>2953.3670000000002</v>
      </c>
      <c r="H67" s="61">
        <v>3013.3670000000002</v>
      </c>
      <c r="I67" s="17">
        <v>0</v>
      </c>
      <c r="J67" s="22">
        <v>0</v>
      </c>
    </row>
    <row r="68" spans="1:11" ht="75.75" thickBot="1">
      <c r="A68" s="23" t="s">
        <v>68</v>
      </c>
      <c r="B68" s="24" t="s">
        <v>69</v>
      </c>
      <c r="C68" s="24"/>
      <c r="D68" s="24"/>
      <c r="E68" s="24"/>
      <c r="F68" s="46">
        <f>1190689.11449+6226.5</f>
        <v>1196915.6144900001</v>
      </c>
      <c r="G68" s="17">
        <f t="shared" si="0"/>
        <v>45340.817679999862</v>
      </c>
      <c r="H68" s="55">
        <f>1226985.03217+15271.4</f>
        <v>1242256.4321699999</v>
      </c>
      <c r="I68" s="11">
        <v>644774.45952000003</v>
      </c>
      <c r="J68" s="25">
        <v>609571.03352000006</v>
      </c>
    </row>
    <row r="69" spans="1:11" ht="51">
      <c r="A69" s="20" t="s">
        <v>70</v>
      </c>
      <c r="B69" s="12" t="s">
        <v>71</v>
      </c>
      <c r="C69" s="12"/>
      <c r="D69" s="12"/>
      <c r="E69" s="12"/>
      <c r="F69" s="13">
        <v>12204</v>
      </c>
      <c r="G69" s="17">
        <f t="shared" si="0"/>
        <v>90</v>
      </c>
      <c r="H69" s="56">
        <v>12294</v>
      </c>
      <c r="I69" s="13">
        <v>12694</v>
      </c>
      <c r="J69" s="26">
        <v>13201</v>
      </c>
    </row>
    <row r="70" spans="1:11" ht="63.75">
      <c r="A70" s="21" t="s">
        <v>72</v>
      </c>
      <c r="B70" s="14" t="s">
        <v>73</v>
      </c>
      <c r="C70" s="14"/>
      <c r="D70" s="14"/>
      <c r="E70" s="14"/>
      <c r="F70" s="15">
        <v>1679</v>
      </c>
      <c r="G70" s="17">
        <f t="shared" si="0"/>
        <v>90</v>
      </c>
      <c r="H70" s="59">
        <v>1769</v>
      </c>
      <c r="I70" s="15">
        <v>1696</v>
      </c>
      <c r="J70" s="27">
        <v>1763</v>
      </c>
    </row>
    <row r="71" spans="1:11" ht="51">
      <c r="A71" s="9" t="s">
        <v>392</v>
      </c>
      <c r="B71" s="16" t="s">
        <v>393</v>
      </c>
      <c r="C71" s="16"/>
      <c r="D71" s="16"/>
      <c r="E71" s="16"/>
      <c r="F71" s="17">
        <v>1679</v>
      </c>
      <c r="G71" s="17">
        <f t="shared" si="0"/>
        <v>90</v>
      </c>
      <c r="H71" s="61">
        <v>1769</v>
      </c>
      <c r="I71" s="17">
        <v>1696</v>
      </c>
      <c r="J71" s="22">
        <v>1763</v>
      </c>
    </row>
    <row r="72" spans="1:11" ht="140.25">
      <c r="A72" s="10" t="s">
        <v>433</v>
      </c>
      <c r="B72" s="18" t="s">
        <v>393</v>
      </c>
      <c r="C72" s="18" t="s">
        <v>25</v>
      </c>
      <c r="D72" s="18" t="s">
        <v>26</v>
      </c>
      <c r="E72" s="18" t="s">
        <v>27</v>
      </c>
      <c r="F72" s="17">
        <v>1510.5</v>
      </c>
      <c r="G72" s="17">
        <f t="shared" si="0"/>
        <v>90</v>
      </c>
      <c r="H72" s="61">
        <v>1600.5</v>
      </c>
      <c r="I72" s="17">
        <v>1571.8</v>
      </c>
      <c r="J72" s="22">
        <v>1634.3</v>
      </c>
    </row>
    <row r="73" spans="1:11" ht="89.25">
      <c r="A73" s="10" t="s">
        <v>452</v>
      </c>
      <c r="B73" s="18" t="s">
        <v>393</v>
      </c>
      <c r="C73" s="18" t="s">
        <v>28</v>
      </c>
      <c r="D73" s="18" t="s">
        <v>26</v>
      </c>
      <c r="E73" s="18" t="s">
        <v>27</v>
      </c>
      <c r="F73" s="17">
        <v>168.5</v>
      </c>
      <c r="G73" s="17">
        <f t="shared" si="0"/>
        <v>0</v>
      </c>
      <c r="H73" s="61">
        <v>168.5</v>
      </c>
      <c r="I73" s="17">
        <v>124.2</v>
      </c>
      <c r="J73" s="22">
        <v>128.69999999999999</v>
      </c>
    </row>
    <row r="74" spans="1:11" ht="25.5">
      <c r="A74" s="21" t="s">
        <v>74</v>
      </c>
      <c r="B74" s="14" t="s">
        <v>75</v>
      </c>
      <c r="C74" s="14"/>
      <c r="D74" s="14"/>
      <c r="E74" s="14"/>
      <c r="F74" s="15">
        <v>10525</v>
      </c>
      <c r="G74" s="17">
        <f t="shared" si="0"/>
        <v>0</v>
      </c>
      <c r="H74" s="59">
        <v>10525</v>
      </c>
      <c r="I74" s="15">
        <v>10998</v>
      </c>
      <c r="J74" s="27">
        <v>11438</v>
      </c>
    </row>
    <row r="75" spans="1:11" ht="140.25">
      <c r="A75" s="9" t="s">
        <v>76</v>
      </c>
      <c r="B75" s="16" t="s">
        <v>77</v>
      </c>
      <c r="C75" s="16"/>
      <c r="D75" s="16"/>
      <c r="E75" s="16"/>
      <c r="F75" s="17">
        <v>10525</v>
      </c>
      <c r="G75" s="17">
        <f t="shared" si="0"/>
        <v>0</v>
      </c>
      <c r="H75" s="61">
        <v>10525</v>
      </c>
      <c r="I75" s="17">
        <v>10998</v>
      </c>
      <c r="J75" s="22">
        <v>11438</v>
      </c>
    </row>
    <row r="76" spans="1:11" ht="153">
      <c r="A76" s="10" t="s">
        <v>488</v>
      </c>
      <c r="B76" s="18" t="s">
        <v>77</v>
      </c>
      <c r="C76" s="18" t="s">
        <v>48</v>
      </c>
      <c r="D76" s="18" t="s">
        <v>66</v>
      </c>
      <c r="E76" s="18" t="s">
        <v>78</v>
      </c>
      <c r="F76" s="17">
        <v>3100</v>
      </c>
      <c r="G76" s="17">
        <f t="shared" si="0"/>
        <v>0</v>
      </c>
      <c r="H76" s="61">
        <v>3100</v>
      </c>
      <c r="I76" s="17">
        <v>3350</v>
      </c>
      <c r="J76" s="22">
        <v>3550</v>
      </c>
    </row>
    <row r="77" spans="1:11" ht="153">
      <c r="A77" s="10" t="s">
        <v>488</v>
      </c>
      <c r="B77" s="18" t="s">
        <v>79</v>
      </c>
      <c r="C77" s="18" t="s">
        <v>48</v>
      </c>
      <c r="D77" s="18" t="s">
        <v>66</v>
      </c>
      <c r="E77" s="18" t="s">
        <v>78</v>
      </c>
      <c r="F77" s="17">
        <v>3075</v>
      </c>
      <c r="G77" s="17">
        <f t="shared" si="0"/>
        <v>0</v>
      </c>
      <c r="H77" s="61">
        <v>3075</v>
      </c>
      <c r="I77" s="17">
        <v>3198</v>
      </c>
      <c r="J77" s="22">
        <v>3238</v>
      </c>
    </row>
    <row r="78" spans="1:11" ht="153">
      <c r="A78" s="10" t="s">
        <v>488</v>
      </c>
      <c r="B78" s="18" t="s">
        <v>80</v>
      </c>
      <c r="C78" s="18" t="s">
        <v>48</v>
      </c>
      <c r="D78" s="18" t="s">
        <v>66</v>
      </c>
      <c r="E78" s="18" t="s">
        <v>78</v>
      </c>
      <c r="F78" s="17">
        <v>4350</v>
      </c>
      <c r="G78" s="17">
        <f t="shared" si="0"/>
        <v>0</v>
      </c>
      <c r="H78" s="61">
        <v>4350</v>
      </c>
      <c r="I78" s="17">
        <v>4450</v>
      </c>
      <c r="J78" s="22">
        <v>4650</v>
      </c>
    </row>
    <row r="79" spans="1:11" ht="25.5">
      <c r="A79" s="20" t="s">
        <v>81</v>
      </c>
      <c r="B79" s="12" t="s">
        <v>82</v>
      </c>
      <c r="C79" s="12"/>
      <c r="D79" s="12"/>
      <c r="E79" s="12"/>
      <c r="F79" s="36">
        <f>1065292.91557+6226.5</f>
        <v>1071519.41557</v>
      </c>
      <c r="G79" s="17">
        <f t="shared" si="0"/>
        <v>35731.917350000236</v>
      </c>
      <c r="H79" s="56">
        <f>1100870.73292+6380.6</f>
        <v>1107251.3329200002</v>
      </c>
      <c r="I79" s="13">
        <v>519050.48359999998</v>
      </c>
      <c r="J79" s="26">
        <v>478853.56559999997</v>
      </c>
    </row>
    <row r="80" spans="1:11" ht="25.5">
      <c r="A80" s="21" t="s">
        <v>83</v>
      </c>
      <c r="B80" s="14" t="s">
        <v>84</v>
      </c>
      <c r="C80" s="14"/>
      <c r="D80" s="14"/>
      <c r="E80" s="14"/>
      <c r="F80" s="15">
        <f>112060.4092+529.5</f>
        <v>112589.90919999999</v>
      </c>
      <c r="G80" s="17">
        <f t="shared" si="0"/>
        <v>4827.6782900000107</v>
      </c>
      <c r="H80" s="59">
        <f>114992.08749+2425.5</f>
        <v>117417.58749000001</v>
      </c>
      <c r="I80" s="15">
        <v>112165.6</v>
      </c>
      <c r="J80" s="27">
        <v>118134.2</v>
      </c>
    </row>
    <row r="81" spans="1:11" ht="102">
      <c r="A81" s="45" t="s">
        <v>579</v>
      </c>
      <c r="B81" s="38" t="s">
        <v>578</v>
      </c>
      <c r="C81" s="53"/>
      <c r="D81" s="53"/>
      <c r="E81" s="53"/>
      <c r="F81" s="39">
        <v>276.2</v>
      </c>
      <c r="G81" s="17">
        <f t="shared" si="0"/>
        <v>0.35103000000003703</v>
      </c>
      <c r="H81" s="61">
        <v>276.55103000000003</v>
      </c>
      <c r="I81" s="39">
        <v>0</v>
      </c>
      <c r="J81" s="41">
        <v>0</v>
      </c>
    </row>
    <row r="82" spans="1:11" ht="127.5">
      <c r="A82" s="45" t="s">
        <v>580</v>
      </c>
      <c r="B82" s="38" t="s">
        <v>578</v>
      </c>
      <c r="C82" s="38" t="s">
        <v>28</v>
      </c>
      <c r="D82" s="38" t="s">
        <v>87</v>
      </c>
      <c r="E82" s="38" t="s">
        <v>88</v>
      </c>
      <c r="F82" s="39">
        <v>276.2</v>
      </c>
      <c r="G82" s="17">
        <f t="shared" si="0"/>
        <v>-276.2</v>
      </c>
      <c r="H82" s="61">
        <v>0</v>
      </c>
      <c r="I82" s="39">
        <v>0</v>
      </c>
      <c r="J82" s="41">
        <v>0</v>
      </c>
    </row>
    <row r="83" spans="1:11" ht="102">
      <c r="A83" s="10" t="s">
        <v>579</v>
      </c>
      <c r="B83" s="62" t="s">
        <v>578</v>
      </c>
      <c r="C83" s="62" t="s">
        <v>65</v>
      </c>
      <c r="D83" s="62" t="s">
        <v>87</v>
      </c>
      <c r="E83" s="62" t="s">
        <v>88</v>
      </c>
      <c r="F83" s="39">
        <v>0</v>
      </c>
      <c r="G83" s="17"/>
      <c r="H83" s="61">
        <v>276.55103000000003</v>
      </c>
      <c r="I83" s="39"/>
      <c r="J83" s="41"/>
    </row>
    <row r="84" spans="1:11" ht="127.5">
      <c r="A84" s="9" t="s">
        <v>85</v>
      </c>
      <c r="B84" s="16" t="s">
        <v>86</v>
      </c>
      <c r="C84" s="16"/>
      <c r="D84" s="16"/>
      <c r="E84" s="16"/>
      <c r="F84" s="17">
        <v>61369</v>
      </c>
      <c r="G84" s="17">
        <f t="shared" si="0"/>
        <v>1831.5999999999985</v>
      </c>
      <c r="H84" s="61">
        <v>63200.6</v>
      </c>
      <c r="I84" s="17">
        <v>64480.6</v>
      </c>
      <c r="J84" s="22">
        <v>68123.5</v>
      </c>
    </row>
    <row r="85" spans="1:11" ht="191.25">
      <c r="A85" s="10" t="s">
        <v>434</v>
      </c>
      <c r="B85" s="18" t="s">
        <v>86</v>
      </c>
      <c r="C85" s="18" t="s">
        <v>25</v>
      </c>
      <c r="D85" s="18" t="s">
        <v>87</v>
      </c>
      <c r="E85" s="18" t="s">
        <v>88</v>
      </c>
      <c r="F85" s="17">
        <v>10009.4</v>
      </c>
      <c r="G85" s="17">
        <f t="shared" si="0"/>
        <v>55.200000000000728</v>
      </c>
      <c r="H85" s="61">
        <v>10064.6</v>
      </c>
      <c r="I85" s="17">
        <v>10519.3</v>
      </c>
      <c r="J85" s="22">
        <v>11110.3</v>
      </c>
    </row>
    <row r="86" spans="1:11" ht="191.25">
      <c r="A86" s="10" t="s">
        <v>434</v>
      </c>
      <c r="B86" s="18" t="s">
        <v>86</v>
      </c>
      <c r="C86" s="18" t="s">
        <v>25</v>
      </c>
      <c r="D86" s="18" t="s">
        <v>87</v>
      </c>
      <c r="E86" s="18" t="s">
        <v>89</v>
      </c>
      <c r="F86" s="17">
        <v>5353.2</v>
      </c>
      <c r="G86" s="17">
        <f t="shared" si="0"/>
        <v>194.5</v>
      </c>
      <c r="H86" s="61">
        <v>5547.7</v>
      </c>
      <c r="I86" s="17">
        <v>5625.5</v>
      </c>
      <c r="J86" s="22">
        <v>5942.5</v>
      </c>
    </row>
    <row r="87" spans="1:11" ht="140.25">
      <c r="A87" s="10" t="s">
        <v>453</v>
      </c>
      <c r="B87" s="18" t="s">
        <v>86</v>
      </c>
      <c r="C87" s="18" t="s">
        <v>28</v>
      </c>
      <c r="D87" s="18" t="s">
        <v>87</v>
      </c>
      <c r="E87" s="18" t="s">
        <v>88</v>
      </c>
      <c r="F87" s="17">
        <v>199.2</v>
      </c>
      <c r="G87" s="17">
        <f t="shared" si="0"/>
        <v>0</v>
      </c>
      <c r="H87" s="61">
        <v>199.2</v>
      </c>
      <c r="I87" s="17">
        <v>201.9</v>
      </c>
      <c r="J87" s="22">
        <v>220.7</v>
      </c>
    </row>
    <row r="88" spans="1:11" ht="140.25">
      <c r="A88" s="10" t="s">
        <v>453</v>
      </c>
      <c r="B88" s="18" t="s">
        <v>86</v>
      </c>
      <c r="C88" s="18" t="s">
        <v>28</v>
      </c>
      <c r="D88" s="18" t="s">
        <v>87</v>
      </c>
      <c r="E88" s="18" t="s">
        <v>89</v>
      </c>
      <c r="F88" s="17">
        <v>116</v>
      </c>
      <c r="G88" s="17">
        <f t="shared" si="0"/>
        <v>0</v>
      </c>
      <c r="H88" s="61">
        <v>116</v>
      </c>
      <c r="I88" s="17">
        <v>116</v>
      </c>
      <c r="J88" s="22">
        <v>128.30000000000001</v>
      </c>
    </row>
    <row r="89" spans="1:11" ht="153">
      <c r="A89" s="10" t="s">
        <v>520</v>
      </c>
      <c r="B89" s="18" t="s">
        <v>86</v>
      </c>
      <c r="C89" s="18" t="s">
        <v>65</v>
      </c>
      <c r="D89" s="18" t="s">
        <v>87</v>
      </c>
      <c r="E89" s="18" t="s">
        <v>88</v>
      </c>
      <c r="F89" s="17">
        <v>44554.5</v>
      </c>
      <c r="G89" s="17">
        <f t="shared" si="0"/>
        <v>1424.4000000000015</v>
      </c>
      <c r="H89" s="61">
        <v>45978.9</v>
      </c>
      <c r="I89" s="17">
        <v>46823.199999999997</v>
      </c>
      <c r="J89" s="22">
        <v>49458.8</v>
      </c>
    </row>
    <row r="90" spans="1:11" ht="153">
      <c r="A90" s="10" t="s">
        <v>520</v>
      </c>
      <c r="B90" s="18" t="s">
        <v>86</v>
      </c>
      <c r="C90" s="18" t="s">
        <v>65</v>
      </c>
      <c r="D90" s="18" t="s">
        <v>87</v>
      </c>
      <c r="E90" s="18" t="s">
        <v>89</v>
      </c>
      <c r="F90" s="17">
        <v>1136.7</v>
      </c>
      <c r="G90" s="17">
        <f t="shared" si="0"/>
        <v>157.5</v>
      </c>
      <c r="H90" s="61">
        <v>1294.2</v>
      </c>
      <c r="I90" s="17">
        <v>1194.7</v>
      </c>
      <c r="J90" s="22">
        <v>1262.9000000000001</v>
      </c>
    </row>
    <row r="91" spans="1:11" ht="114.75">
      <c r="A91" s="50" t="s">
        <v>575</v>
      </c>
      <c r="B91" s="47" t="s">
        <v>574</v>
      </c>
      <c r="C91" s="18"/>
      <c r="D91" s="18"/>
      <c r="E91" s="18"/>
      <c r="F91" s="17">
        <v>253</v>
      </c>
      <c r="G91" s="17">
        <f t="shared" si="0"/>
        <v>-7.6500000000123691E-3</v>
      </c>
      <c r="H91" s="61">
        <v>252.99234999999999</v>
      </c>
      <c r="I91" s="17">
        <v>0</v>
      </c>
      <c r="J91" s="22">
        <v>0</v>
      </c>
    </row>
    <row r="92" spans="1:11" ht="140.25">
      <c r="A92" s="50" t="s">
        <v>576</v>
      </c>
      <c r="B92" s="47" t="s">
        <v>574</v>
      </c>
      <c r="C92" s="47" t="s">
        <v>28</v>
      </c>
      <c r="D92" s="47" t="s">
        <v>87</v>
      </c>
      <c r="E92" s="47" t="s">
        <v>88</v>
      </c>
      <c r="F92" s="17">
        <v>55</v>
      </c>
      <c r="G92" s="17">
        <f t="shared" si="0"/>
        <v>0</v>
      </c>
      <c r="H92" s="61">
        <v>55</v>
      </c>
      <c r="I92" s="17">
        <v>0</v>
      </c>
      <c r="J92" s="22">
        <v>0</v>
      </c>
    </row>
    <row r="93" spans="1:11" ht="153">
      <c r="A93" s="50" t="s">
        <v>577</v>
      </c>
      <c r="B93" s="47" t="s">
        <v>574</v>
      </c>
      <c r="C93" s="47" t="s">
        <v>65</v>
      </c>
      <c r="D93" s="47" t="s">
        <v>87</v>
      </c>
      <c r="E93" s="47" t="s">
        <v>88</v>
      </c>
      <c r="F93" s="17">
        <v>198</v>
      </c>
      <c r="G93" s="17">
        <f t="shared" si="0"/>
        <v>-7.6500000000123691E-3</v>
      </c>
      <c r="H93" s="61">
        <v>197.99234999999999</v>
      </c>
      <c r="I93" s="17">
        <v>0</v>
      </c>
      <c r="J93" s="22">
        <v>0</v>
      </c>
    </row>
    <row r="94" spans="1:11" ht="102">
      <c r="A94" s="9" t="s">
        <v>90</v>
      </c>
      <c r="B94" s="16" t="s">
        <v>91</v>
      </c>
      <c r="C94" s="16"/>
      <c r="D94" s="16"/>
      <c r="E94" s="16"/>
      <c r="F94" s="17">
        <f>48278.0092+1239.7+643.7</f>
        <v>50161.409199999995</v>
      </c>
      <c r="G94" s="17">
        <f t="shared" ref="G94:G166" si="1">SUM(H94-F94)</f>
        <v>2457.963840000004</v>
      </c>
      <c r="H94" s="61">
        <f>50193.87304+2425.5</f>
        <v>52619.373039999999</v>
      </c>
      <c r="I94" s="17">
        <v>47685</v>
      </c>
      <c r="J94" s="22">
        <v>50010.7</v>
      </c>
    </row>
    <row r="95" spans="1:11" ht="102">
      <c r="A95" s="10" t="s">
        <v>90</v>
      </c>
      <c r="B95" s="18" t="s">
        <v>91</v>
      </c>
      <c r="C95" s="18" t="s">
        <v>25</v>
      </c>
      <c r="D95" s="18" t="s">
        <v>87</v>
      </c>
      <c r="E95" s="18" t="s">
        <v>88</v>
      </c>
      <c r="F95" s="17">
        <f>6264.7+245</f>
        <v>6509.7</v>
      </c>
      <c r="G95" s="17">
        <f t="shared" si="1"/>
        <v>358</v>
      </c>
      <c r="H95" s="61">
        <f>6509.7+358</f>
        <v>6867.7</v>
      </c>
      <c r="I95" s="17">
        <v>6515.2</v>
      </c>
      <c r="J95" s="22">
        <v>6775.7</v>
      </c>
      <c r="K95" s="65">
        <v>358</v>
      </c>
    </row>
    <row r="96" spans="1:11" ht="165.75">
      <c r="A96" s="10" t="s">
        <v>435</v>
      </c>
      <c r="B96" s="18" t="s">
        <v>91</v>
      </c>
      <c r="C96" s="18" t="s">
        <v>25</v>
      </c>
      <c r="D96" s="18" t="s">
        <v>87</v>
      </c>
      <c r="E96" s="18" t="s">
        <v>89</v>
      </c>
      <c r="F96" s="17">
        <f>1212.5526+48.5</f>
        <v>1261.0526</v>
      </c>
      <c r="G96" s="17">
        <f t="shared" si="1"/>
        <v>69.400000000000091</v>
      </c>
      <c r="H96" s="61">
        <f>1261.0526+69.4</f>
        <v>1330.4526000000001</v>
      </c>
      <c r="I96" s="17">
        <v>1261.0999999999999</v>
      </c>
      <c r="J96" s="22">
        <v>1311.6</v>
      </c>
      <c r="K96" s="65">
        <v>69.400000000000006</v>
      </c>
    </row>
    <row r="97" spans="1:11" ht="114.75">
      <c r="A97" s="10" t="s">
        <v>454</v>
      </c>
      <c r="B97" s="18" t="s">
        <v>91</v>
      </c>
      <c r="C97" s="18" t="s">
        <v>28</v>
      </c>
      <c r="D97" s="18" t="s">
        <v>87</v>
      </c>
      <c r="E97" s="18" t="s">
        <v>88</v>
      </c>
      <c r="F97" s="17">
        <v>5299.8</v>
      </c>
      <c r="G97" s="17">
        <f t="shared" si="1"/>
        <v>115.33604000000014</v>
      </c>
      <c r="H97" s="61">
        <f>5295.53604+119.6</f>
        <v>5415.1360400000003</v>
      </c>
      <c r="I97" s="17">
        <v>4743.8</v>
      </c>
      <c r="J97" s="22">
        <v>4981.3</v>
      </c>
      <c r="K97" s="65">
        <v>119.6</v>
      </c>
    </row>
    <row r="98" spans="1:11" ht="114.75">
      <c r="A98" s="10" t="s">
        <v>454</v>
      </c>
      <c r="B98" s="18" t="s">
        <v>91</v>
      </c>
      <c r="C98" s="18" t="s">
        <v>28</v>
      </c>
      <c r="D98" s="18" t="s">
        <v>87</v>
      </c>
      <c r="E98" s="18" t="s">
        <v>89</v>
      </c>
      <c r="F98" s="17">
        <v>1304.4000000000001</v>
      </c>
      <c r="G98" s="17">
        <f t="shared" si="1"/>
        <v>104.63490999999976</v>
      </c>
      <c r="H98" s="61">
        <f>1344.93491+64.1</f>
        <v>1409.0349099999999</v>
      </c>
      <c r="I98" s="17">
        <v>1309.7</v>
      </c>
      <c r="J98" s="22">
        <v>1315</v>
      </c>
      <c r="K98" s="65">
        <v>64.099999999999994</v>
      </c>
    </row>
    <row r="99" spans="1:11" ht="102">
      <c r="A99" s="10" t="s">
        <v>502</v>
      </c>
      <c r="B99" s="18" t="s">
        <v>91</v>
      </c>
      <c r="C99" s="18" t="s">
        <v>37</v>
      </c>
      <c r="D99" s="18" t="s">
        <v>87</v>
      </c>
      <c r="E99" s="18" t="s">
        <v>88</v>
      </c>
      <c r="F99" s="17">
        <v>45</v>
      </c>
      <c r="G99" s="17">
        <f t="shared" si="1"/>
        <v>0</v>
      </c>
      <c r="H99" s="61">
        <v>45</v>
      </c>
      <c r="I99" s="17">
        <v>0</v>
      </c>
      <c r="J99" s="22">
        <v>0</v>
      </c>
    </row>
    <row r="100" spans="1:11" ht="127.5">
      <c r="A100" s="10" t="s">
        <v>521</v>
      </c>
      <c r="B100" s="18" t="s">
        <v>91</v>
      </c>
      <c r="C100" s="18" t="s">
        <v>65</v>
      </c>
      <c r="D100" s="18" t="s">
        <v>87</v>
      </c>
      <c r="E100" s="18" t="s">
        <v>88</v>
      </c>
      <c r="F100" s="17">
        <f>33755.9+889+643.7</f>
        <v>35288.6</v>
      </c>
      <c r="G100" s="17">
        <f t="shared" si="1"/>
        <v>1821.1928899999984</v>
      </c>
      <c r="H100" s="61">
        <f>35329.79289+1780</f>
        <v>37109.792889999997</v>
      </c>
      <c r="I100" s="17">
        <v>33446.199999999997</v>
      </c>
      <c r="J100" s="22">
        <v>35204.400000000001</v>
      </c>
      <c r="K100" s="65">
        <v>1780</v>
      </c>
    </row>
    <row r="101" spans="1:11" ht="127.5">
      <c r="A101" s="10" t="s">
        <v>521</v>
      </c>
      <c r="B101" s="18" t="s">
        <v>91</v>
      </c>
      <c r="C101" s="18" t="s">
        <v>65</v>
      </c>
      <c r="D101" s="18" t="s">
        <v>87</v>
      </c>
      <c r="E101" s="18" t="s">
        <v>89</v>
      </c>
      <c r="F101" s="34">
        <f>331.8566+57.2</f>
        <v>389.0566</v>
      </c>
      <c r="G101" s="17">
        <f t="shared" si="1"/>
        <v>-10.600000000000023</v>
      </c>
      <c r="H101" s="61">
        <f>344.0566+34.4</f>
        <v>378.45659999999998</v>
      </c>
      <c r="I101" s="17">
        <v>345.2</v>
      </c>
      <c r="J101" s="22">
        <v>358.9</v>
      </c>
      <c r="K101" s="65">
        <v>34.4</v>
      </c>
    </row>
    <row r="102" spans="1:11" ht="102">
      <c r="A102" s="10" t="s">
        <v>543</v>
      </c>
      <c r="B102" s="18" t="s">
        <v>91</v>
      </c>
      <c r="C102" s="18" t="s">
        <v>49</v>
      </c>
      <c r="D102" s="18" t="s">
        <v>87</v>
      </c>
      <c r="E102" s="18" t="s">
        <v>88</v>
      </c>
      <c r="F102" s="17">
        <v>63.8</v>
      </c>
      <c r="G102" s="17">
        <f t="shared" si="1"/>
        <v>0</v>
      </c>
      <c r="H102" s="61">
        <v>63.8</v>
      </c>
      <c r="I102" s="17">
        <v>63.8</v>
      </c>
      <c r="J102" s="22">
        <v>63.8</v>
      </c>
    </row>
    <row r="103" spans="1:11" ht="38.25">
      <c r="A103" s="9" t="s">
        <v>394</v>
      </c>
      <c r="B103" s="16" t="s">
        <v>395</v>
      </c>
      <c r="C103" s="16"/>
      <c r="D103" s="16"/>
      <c r="E103" s="16"/>
      <c r="F103" s="17">
        <v>530</v>
      </c>
      <c r="G103" s="17">
        <f t="shared" si="1"/>
        <v>538.07106999999996</v>
      </c>
      <c r="H103" s="61">
        <v>1068.07107</v>
      </c>
      <c r="I103" s="17">
        <v>0</v>
      </c>
      <c r="J103" s="22">
        <v>0</v>
      </c>
    </row>
    <row r="104" spans="1:11" ht="51">
      <c r="A104" s="10" t="s">
        <v>455</v>
      </c>
      <c r="B104" s="18" t="s">
        <v>395</v>
      </c>
      <c r="C104" s="18" t="s">
        <v>28</v>
      </c>
      <c r="D104" s="18" t="s">
        <v>87</v>
      </c>
      <c r="E104" s="18" t="s">
        <v>88</v>
      </c>
      <c r="F104" s="17">
        <v>280</v>
      </c>
      <c r="G104" s="17">
        <f t="shared" si="1"/>
        <v>284.26396</v>
      </c>
      <c r="H104" s="61">
        <v>564.26396</v>
      </c>
      <c r="I104" s="17">
        <v>0</v>
      </c>
      <c r="J104" s="22">
        <v>0</v>
      </c>
    </row>
    <row r="105" spans="1:11" ht="63.75">
      <c r="A105" s="10" t="s">
        <v>522</v>
      </c>
      <c r="B105" s="18" t="s">
        <v>395</v>
      </c>
      <c r="C105" s="18" t="s">
        <v>65</v>
      </c>
      <c r="D105" s="18" t="s">
        <v>87</v>
      </c>
      <c r="E105" s="18" t="s">
        <v>88</v>
      </c>
      <c r="F105" s="17">
        <v>250</v>
      </c>
      <c r="G105" s="17">
        <f t="shared" si="1"/>
        <v>253.80711000000002</v>
      </c>
      <c r="H105" s="61">
        <v>503.80711000000002</v>
      </c>
      <c r="I105" s="17">
        <v>0</v>
      </c>
      <c r="J105" s="22">
        <v>0</v>
      </c>
    </row>
    <row r="106" spans="1:11" ht="25.5">
      <c r="A106" s="21" t="s">
        <v>92</v>
      </c>
      <c r="B106" s="14" t="s">
        <v>93</v>
      </c>
      <c r="C106" s="14"/>
      <c r="D106" s="14"/>
      <c r="E106" s="14"/>
      <c r="F106" s="15">
        <f>952435.34837+5697</f>
        <v>958132.34837000002</v>
      </c>
      <c r="G106" s="17">
        <f t="shared" si="1"/>
        <v>30904.239059999934</v>
      </c>
      <c r="H106" s="59">
        <f>985081.48743+3955.1</f>
        <v>989036.58742999996</v>
      </c>
      <c r="I106" s="15">
        <v>406087.72560000001</v>
      </c>
      <c r="J106" s="27">
        <v>359730.48560000001</v>
      </c>
    </row>
    <row r="107" spans="1:11" ht="165.75">
      <c r="A107" s="9" t="s">
        <v>609</v>
      </c>
      <c r="B107" s="60" t="s">
        <v>610</v>
      </c>
      <c r="C107" s="60"/>
      <c r="D107" s="60"/>
      <c r="E107" s="60"/>
      <c r="F107" s="15">
        <v>0</v>
      </c>
      <c r="G107" s="17">
        <f t="shared" si="1"/>
        <v>286.44</v>
      </c>
      <c r="H107" s="61">
        <v>286.44</v>
      </c>
      <c r="I107" s="15">
        <v>0</v>
      </c>
      <c r="J107" s="27">
        <v>0</v>
      </c>
    </row>
    <row r="108" spans="1:11" ht="165.75">
      <c r="A108" s="10" t="s">
        <v>609</v>
      </c>
      <c r="B108" s="62" t="s">
        <v>610</v>
      </c>
      <c r="C108" s="62" t="s">
        <v>25</v>
      </c>
      <c r="D108" s="62" t="s">
        <v>87</v>
      </c>
      <c r="E108" s="62" t="s">
        <v>103</v>
      </c>
      <c r="F108" s="15">
        <v>0</v>
      </c>
      <c r="G108" s="17">
        <f t="shared" si="1"/>
        <v>130.19999999999999</v>
      </c>
      <c r="H108" s="61">
        <v>130.19999999999999</v>
      </c>
      <c r="I108" s="15">
        <v>0</v>
      </c>
      <c r="J108" s="27">
        <v>0</v>
      </c>
    </row>
    <row r="109" spans="1:11" ht="165.75">
      <c r="A109" s="10" t="s">
        <v>609</v>
      </c>
      <c r="B109" s="62" t="s">
        <v>610</v>
      </c>
      <c r="C109" s="62" t="s">
        <v>65</v>
      </c>
      <c r="D109" s="62" t="s">
        <v>87</v>
      </c>
      <c r="E109" s="62" t="s">
        <v>103</v>
      </c>
      <c r="F109" s="15">
        <v>0</v>
      </c>
      <c r="G109" s="17">
        <f t="shared" si="1"/>
        <v>156.24</v>
      </c>
      <c r="H109" s="61">
        <v>156.24</v>
      </c>
      <c r="I109" s="15">
        <v>0</v>
      </c>
      <c r="J109" s="27">
        <v>0</v>
      </c>
    </row>
    <row r="110" spans="1:11" ht="140.25">
      <c r="A110" s="9" t="s">
        <v>94</v>
      </c>
      <c r="B110" s="16" t="s">
        <v>95</v>
      </c>
      <c r="C110" s="16"/>
      <c r="D110" s="16"/>
      <c r="E110" s="16"/>
      <c r="F110" s="17">
        <v>12186.8</v>
      </c>
      <c r="G110" s="17">
        <f t="shared" si="1"/>
        <v>3178.7000000000007</v>
      </c>
      <c r="H110" s="61">
        <v>15365.5</v>
      </c>
      <c r="I110" s="17">
        <v>12186.8</v>
      </c>
      <c r="J110" s="22">
        <v>12186.8</v>
      </c>
    </row>
    <row r="111" spans="1:11" ht="216.75">
      <c r="A111" s="10" t="s">
        <v>436</v>
      </c>
      <c r="B111" s="18" t="s">
        <v>95</v>
      </c>
      <c r="C111" s="18" t="s">
        <v>25</v>
      </c>
      <c r="D111" s="18" t="s">
        <v>87</v>
      </c>
      <c r="E111" s="18" t="s">
        <v>89</v>
      </c>
      <c r="F111" s="17">
        <v>4296.6000000000004</v>
      </c>
      <c r="G111" s="17">
        <f t="shared" si="1"/>
        <v>899.33299999999963</v>
      </c>
      <c r="H111" s="61">
        <v>5195.933</v>
      </c>
      <c r="I111" s="17">
        <v>4296.66</v>
      </c>
      <c r="J111" s="22">
        <v>4296.66</v>
      </c>
    </row>
    <row r="112" spans="1:11" ht="178.5">
      <c r="A112" s="10" t="s">
        <v>361</v>
      </c>
      <c r="B112" s="18" t="s">
        <v>95</v>
      </c>
      <c r="C112" s="18" t="s">
        <v>65</v>
      </c>
      <c r="D112" s="18" t="s">
        <v>87</v>
      </c>
      <c r="E112" s="18" t="s">
        <v>89</v>
      </c>
      <c r="F112" s="17">
        <v>7890.2</v>
      </c>
      <c r="G112" s="17">
        <f t="shared" si="1"/>
        <v>2279.3669999999993</v>
      </c>
      <c r="H112" s="61">
        <v>10169.566999999999</v>
      </c>
      <c r="I112" s="17">
        <v>7890.14</v>
      </c>
      <c r="J112" s="22">
        <v>7890.14</v>
      </c>
    </row>
    <row r="113" spans="1:11" ht="89.25">
      <c r="A113" s="45" t="s">
        <v>582</v>
      </c>
      <c r="B113" s="47" t="s">
        <v>581</v>
      </c>
      <c r="C113" s="18"/>
      <c r="D113" s="18"/>
      <c r="E113" s="18"/>
      <c r="F113" s="17">
        <v>700</v>
      </c>
      <c r="G113" s="17">
        <f t="shared" si="1"/>
        <v>0</v>
      </c>
      <c r="H113" s="61">
        <v>700</v>
      </c>
      <c r="I113" s="17">
        <v>0</v>
      </c>
      <c r="J113" s="22">
        <v>0</v>
      </c>
    </row>
    <row r="114" spans="1:11" ht="114.75">
      <c r="A114" s="45" t="s">
        <v>583</v>
      </c>
      <c r="B114" s="47" t="s">
        <v>581</v>
      </c>
      <c r="C114" s="47" t="s">
        <v>28</v>
      </c>
      <c r="D114" s="47" t="s">
        <v>87</v>
      </c>
      <c r="E114" s="47" t="s">
        <v>89</v>
      </c>
      <c r="F114" s="17">
        <v>300</v>
      </c>
      <c r="G114" s="17">
        <f t="shared" si="1"/>
        <v>0</v>
      </c>
      <c r="H114" s="61">
        <v>300</v>
      </c>
      <c r="I114" s="17">
        <v>0</v>
      </c>
      <c r="J114" s="22">
        <v>0</v>
      </c>
    </row>
    <row r="115" spans="1:11" ht="114.75">
      <c r="A115" s="45" t="s">
        <v>584</v>
      </c>
      <c r="B115" s="47" t="s">
        <v>581</v>
      </c>
      <c r="C115" s="47" t="s">
        <v>65</v>
      </c>
      <c r="D115" s="47" t="s">
        <v>87</v>
      </c>
      <c r="E115" s="47" t="s">
        <v>89</v>
      </c>
      <c r="F115" s="17">
        <v>400</v>
      </c>
      <c r="G115" s="17">
        <f t="shared" si="1"/>
        <v>0</v>
      </c>
      <c r="H115" s="61">
        <v>400</v>
      </c>
      <c r="I115" s="17">
        <v>0</v>
      </c>
      <c r="J115" s="22">
        <v>0</v>
      </c>
    </row>
    <row r="116" spans="1:11" ht="153">
      <c r="A116" s="9" t="s">
        <v>96</v>
      </c>
      <c r="B116" s="16" t="s">
        <v>97</v>
      </c>
      <c r="C116" s="16"/>
      <c r="D116" s="16"/>
      <c r="E116" s="16"/>
      <c r="F116" s="17">
        <v>252142.9</v>
      </c>
      <c r="G116" s="17">
        <f t="shared" si="1"/>
        <v>6232</v>
      </c>
      <c r="H116" s="61">
        <v>258374.9</v>
      </c>
      <c r="I116" s="17">
        <v>254037.1</v>
      </c>
      <c r="J116" s="22">
        <v>272140.3</v>
      </c>
    </row>
    <row r="117" spans="1:11" ht="229.5">
      <c r="A117" s="10" t="s">
        <v>358</v>
      </c>
      <c r="B117" s="18" t="s">
        <v>97</v>
      </c>
      <c r="C117" s="18" t="s">
        <v>25</v>
      </c>
      <c r="D117" s="18" t="s">
        <v>87</v>
      </c>
      <c r="E117" s="18" t="s">
        <v>89</v>
      </c>
      <c r="F117" s="17">
        <v>76999.3</v>
      </c>
      <c r="G117" s="17">
        <f t="shared" si="1"/>
        <v>1202.3654799999931</v>
      </c>
      <c r="H117" s="61">
        <v>78201.665479999996</v>
      </c>
      <c r="I117" s="17">
        <v>75627.600000000006</v>
      </c>
      <c r="J117" s="22">
        <v>80540.800000000003</v>
      </c>
    </row>
    <row r="118" spans="1:11" ht="178.5">
      <c r="A118" s="10" t="s">
        <v>456</v>
      </c>
      <c r="B118" s="18" t="s">
        <v>97</v>
      </c>
      <c r="C118" s="18" t="s">
        <v>28</v>
      </c>
      <c r="D118" s="18" t="s">
        <v>87</v>
      </c>
      <c r="E118" s="18" t="s">
        <v>89</v>
      </c>
      <c r="F118" s="17">
        <v>2229.8000000000002</v>
      </c>
      <c r="G118" s="17">
        <f t="shared" si="1"/>
        <v>193.33451999999988</v>
      </c>
      <c r="H118" s="61">
        <v>2423.1345200000001</v>
      </c>
      <c r="I118" s="17">
        <v>2322.8000000000002</v>
      </c>
      <c r="J118" s="22">
        <v>2534.8000000000002</v>
      </c>
    </row>
    <row r="119" spans="1:11" ht="191.25">
      <c r="A119" s="10" t="s">
        <v>366</v>
      </c>
      <c r="B119" s="18" t="s">
        <v>97</v>
      </c>
      <c r="C119" s="18" t="s">
        <v>65</v>
      </c>
      <c r="D119" s="18" t="s">
        <v>87</v>
      </c>
      <c r="E119" s="18" t="s">
        <v>89</v>
      </c>
      <c r="F119" s="17">
        <v>172913.8</v>
      </c>
      <c r="G119" s="17">
        <f t="shared" si="1"/>
        <v>4836.3000000000175</v>
      </c>
      <c r="H119" s="61">
        <v>177750.1</v>
      </c>
      <c r="I119" s="17">
        <v>176086.7</v>
      </c>
      <c r="J119" s="22">
        <v>189064.7</v>
      </c>
    </row>
    <row r="120" spans="1:11" ht="153">
      <c r="A120" s="9" t="s">
        <v>98</v>
      </c>
      <c r="B120" s="16" t="s">
        <v>99</v>
      </c>
      <c r="C120" s="16"/>
      <c r="D120" s="16"/>
      <c r="E120" s="16"/>
      <c r="F120" s="17">
        <v>675.3</v>
      </c>
      <c r="G120" s="17">
        <f t="shared" si="1"/>
        <v>0</v>
      </c>
      <c r="H120" s="61">
        <v>675.3</v>
      </c>
      <c r="I120" s="17">
        <v>702.3</v>
      </c>
      <c r="J120" s="22">
        <v>730.4</v>
      </c>
    </row>
    <row r="121" spans="1:11" ht="165.75">
      <c r="A121" s="10" t="s">
        <v>489</v>
      </c>
      <c r="B121" s="18" t="s">
        <v>99</v>
      </c>
      <c r="C121" s="18" t="s">
        <v>48</v>
      </c>
      <c r="D121" s="18" t="s">
        <v>66</v>
      </c>
      <c r="E121" s="18" t="s">
        <v>78</v>
      </c>
      <c r="F121" s="17">
        <v>675.3</v>
      </c>
      <c r="G121" s="17">
        <f t="shared" si="1"/>
        <v>0</v>
      </c>
      <c r="H121" s="61">
        <v>675.3</v>
      </c>
      <c r="I121" s="17">
        <v>702.3</v>
      </c>
      <c r="J121" s="22">
        <v>730.4</v>
      </c>
    </row>
    <row r="122" spans="1:11" ht="114.75">
      <c r="A122" s="50" t="s">
        <v>575</v>
      </c>
      <c r="B122" s="47" t="s">
        <v>585</v>
      </c>
      <c r="C122" s="18"/>
      <c r="D122" s="18"/>
      <c r="E122" s="18"/>
      <c r="F122" s="17">
        <v>4997</v>
      </c>
      <c r="G122" s="17">
        <f t="shared" si="1"/>
        <v>7.6499999995576218E-3</v>
      </c>
      <c r="H122" s="61">
        <v>4997.0076499999996</v>
      </c>
      <c r="I122" s="17">
        <v>0</v>
      </c>
      <c r="J122" s="17">
        <v>0</v>
      </c>
    </row>
    <row r="123" spans="1:11" ht="140.25">
      <c r="A123" s="50" t="s">
        <v>576</v>
      </c>
      <c r="B123" s="47" t="s">
        <v>585</v>
      </c>
      <c r="C123" s="47" t="s">
        <v>28</v>
      </c>
      <c r="D123" s="47" t="s">
        <v>87</v>
      </c>
      <c r="E123" s="47" t="s">
        <v>89</v>
      </c>
      <c r="F123" s="17">
        <v>330</v>
      </c>
      <c r="G123" s="17">
        <f t="shared" si="1"/>
        <v>0</v>
      </c>
      <c r="H123" s="61">
        <v>330</v>
      </c>
      <c r="I123" s="17">
        <v>0</v>
      </c>
      <c r="J123" s="17">
        <v>0</v>
      </c>
    </row>
    <row r="124" spans="1:11" ht="153">
      <c r="A124" s="50" t="s">
        <v>586</v>
      </c>
      <c r="B124" s="47" t="s">
        <v>585</v>
      </c>
      <c r="C124" s="47" t="s">
        <v>65</v>
      </c>
      <c r="D124" s="47" t="s">
        <v>87</v>
      </c>
      <c r="E124" s="47" t="s">
        <v>89</v>
      </c>
      <c r="F124" s="17">
        <v>4667</v>
      </c>
      <c r="G124" s="17">
        <f t="shared" si="1"/>
        <v>7.6499999995576218E-3</v>
      </c>
      <c r="H124" s="61">
        <v>4667.0076499999996</v>
      </c>
      <c r="I124" s="17">
        <v>0</v>
      </c>
      <c r="J124" s="17">
        <v>0</v>
      </c>
    </row>
    <row r="125" spans="1:11" ht="102">
      <c r="A125" s="9" t="s">
        <v>100</v>
      </c>
      <c r="B125" s="16" t="s">
        <v>101</v>
      </c>
      <c r="C125" s="16"/>
      <c r="D125" s="16"/>
      <c r="E125" s="16"/>
      <c r="F125" s="17">
        <f>54646.0169+1153.3</f>
        <v>55799.316900000005</v>
      </c>
      <c r="G125" s="17">
        <f t="shared" si="1"/>
        <v>4595.067329999998</v>
      </c>
      <c r="H125" s="61">
        <f>56959.48423+3434.9</f>
        <v>60394.384230000003</v>
      </c>
      <c r="I125" s="17">
        <v>52838.92</v>
      </c>
      <c r="J125" s="22">
        <v>55609.5</v>
      </c>
    </row>
    <row r="126" spans="1:11" ht="114.75">
      <c r="A126" s="10" t="s">
        <v>457</v>
      </c>
      <c r="B126" s="18" t="s">
        <v>101</v>
      </c>
      <c r="C126" s="18" t="s">
        <v>28</v>
      </c>
      <c r="D126" s="18" t="s">
        <v>87</v>
      </c>
      <c r="E126" s="18" t="s">
        <v>89</v>
      </c>
      <c r="F126" s="34">
        <f>15152.71271+586.5</f>
        <v>15739.21271</v>
      </c>
      <c r="G126" s="17">
        <f t="shared" si="1"/>
        <v>2315.2010599999994</v>
      </c>
      <c r="H126" s="61">
        <f>16249.01377+1805.4</f>
        <v>18054.413769999999</v>
      </c>
      <c r="I126" s="17">
        <v>14745.06</v>
      </c>
      <c r="J126" s="22">
        <v>15913.9</v>
      </c>
      <c r="K126" s="65">
        <v>1805.4</v>
      </c>
    </row>
    <row r="127" spans="1:11" ht="114.75">
      <c r="A127" s="10" t="s">
        <v>490</v>
      </c>
      <c r="B127" s="18" t="s">
        <v>101</v>
      </c>
      <c r="C127" s="18" t="s">
        <v>48</v>
      </c>
      <c r="D127" s="18" t="s">
        <v>87</v>
      </c>
      <c r="E127" s="18" t="s">
        <v>89</v>
      </c>
      <c r="F127" s="17">
        <v>128.9</v>
      </c>
      <c r="G127" s="17">
        <f t="shared" si="1"/>
        <v>-8</v>
      </c>
      <c r="H127" s="61">
        <v>120.9</v>
      </c>
      <c r="I127" s="17">
        <v>17.2</v>
      </c>
      <c r="J127" s="22">
        <v>17.3</v>
      </c>
    </row>
    <row r="128" spans="1:11" ht="127.5">
      <c r="A128" s="10" t="s">
        <v>523</v>
      </c>
      <c r="B128" s="18" t="s">
        <v>101</v>
      </c>
      <c r="C128" s="18" t="s">
        <v>65</v>
      </c>
      <c r="D128" s="18" t="s">
        <v>87</v>
      </c>
      <c r="E128" s="18" t="s">
        <v>89</v>
      </c>
      <c r="F128" s="34">
        <f>38439.3+566.8</f>
        <v>39006.100000000006</v>
      </c>
      <c r="G128" s="17">
        <f t="shared" si="1"/>
        <v>2287.8662699999913</v>
      </c>
      <c r="H128" s="61">
        <f>39664.46627+1629.5</f>
        <v>41293.966269999997</v>
      </c>
      <c r="I128" s="17">
        <v>37115.46</v>
      </c>
      <c r="J128" s="22">
        <v>38753.9</v>
      </c>
      <c r="K128" s="65">
        <v>1629.5</v>
      </c>
    </row>
    <row r="129" spans="1:11" ht="102">
      <c r="A129" s="10" t="s">
        <v>544</v>
      </c>
      <c r="B129" s="18" t="s">
        <v>101</v>
      </c>
      <c r="C129" s="18" t="s">
        <v>49</v>
      </c>
      <c r="D129" s="18" t="s">
        <v>87</v>
      </c>
      <c r="E129" s="18" t="s">
        <v>89</v>
      </c>
      <c r="F129" s="17">
        <v>925.10419000000002</v>
      </c>
      <c r="G129" s="17">
        <f t="shared" si="1"/>
        <v>0</v>
      </c>
      <c r="H129" s="61">
        <v>925.10419000000002</v>
      </c>
      <c r="I129" s="17">
        <v>961.2</v>
      </c>
      <c r="J129" s="22">
        <v>924.4</v>
      </c>
    </row>
    <row r="130" spans="1:11" ht="63.75">
      <c r="A130" s="9" t="s">
        <v>396</v>
      </c>
      <c r="B130" s="16" t="s">
        <v>102</v>
      </c>
      <c r="C130" s="16"/>
      <c r="D130" s="16"/>
      <c r="E130" s="16"/>
      <c r="F130" s="17">
        <v>12608.9056</v>
      </c>
      <c r="G130" s="17">
        <f t="shared" si="1"/>
        <v>0</v>
      </c>
      <c r="H130" s="61">
        <v>12608.9056</v>
      </c>
      <c r="I130" s="17">
        <v>12608.9056</v>
      </c>
      <c r="J130" s="22">
        <v>12608.9056</v>
      </c>
    </row>
    <row r="131" spans="1:11" ht="89.25">
      <c r="A131" s="10" t="s">
        <v>458</v>
      </c>
      <c r="B131" s="18" t="s">
        <v>102</v>
      </c>
      <c r="C131" s="18" t="s">
        <v>28</v>
      </c>
      <c r="D131" s="18" t="s">
        <v>87</v>
      </c>
      <c r="E131" s="18" t="s">
        <v>89</v>
      </c>
      <c r="F131" s="17">
        <v>2695.9603200000001</v>
      </c>
      <c r="G131" s="17">
        <f t="shared" si="1"/>
        <v>0</v>
      </c>
      <c r="H131" s="61">
        <v>2695.9603200000001</v>
      </c>
      <c r="I131" s="17">
        <v>2696.5006899999998</v>
      </c>
      <c r="J131" s="22">
        <v>2696.5006899999998</v>
      </c>
    </row>
    <row r="132" spans="1:11" ht="89.25">
      <c r="A132" s="10" t="s">
        <v>524</v>
      </c>
      <c r="B132" s="18" t="s">
        <v>102</v>
      </c>
      <c r="C132" s="18" t="s">
        <v>65</v>
      </c>
      <c r="D132" s="18" t="s">
        <v>87</v>
      </c>
      <c r="E132" s="18" t="s">
        <v>89</v>
      </c>
      <c r="F132" s="17">
        <v>9912.9452799999999</v>
      </c>
      <c r="G132" s="17">
        <f t="shared" si="1"/>
        <v>0</v>
      </c>
      <c r="H132" s="61">
        <v>9912.9452799999999</v>
      </c>
      <c r="I132" s="17">
        <v>9912.4049099999993</v>
      </c>
      <c r="J132" s="22">
        <v>9912.4049099999993</v>
      </c>
    </row>
    <row r="133" spans="1:11" ht="38.25">
      <c r="A133" s="9" t="s">
        <v>397</v>
      </c>
      <c r="B133" s="16" t="s">
        <v>398</v>
      </c>
      <c r="C133" s="16"/>
      <c r="D133" s="16"/>
      <c r="E133" s="16"/>
      <c r="F133" s="17">
        <v>0</v>
      </c>
      <c r="G133" s="17">
        <f t="shared" si="1"/>
        <v>0</v>
      </c>
      <c r="H133" s="61">
        <v>0</v>
      </c>
      <c r="I133" s="17">
        <v>58623.095999999998</v>
      </c>
      <c r="J133" s="22">
        <v>0</v>
      </c>
    </row>
    <row r="134" spans="1:11" ht="63.75">
      <c r="A134" s="10" t="s">
        <v>525</v>
      </c>
      <c r="B134" s="18" t="s">
        <v>398</v>
      </c>
      <c r="C134" s="18" t="s">
        <v>65</v>
      </c>
      <c r="D134" s="18" t="s">
        <v>87</v>
      </c>
      <c r="E134" s="18" t="s">
        <v>89</v>
      </c>
      <c r="F134" s="17">
        <v>0</v>
      </c>
      <c r="G134" s="17">
        <f t="shared" si="1"/>
        <v>0</v>
      </c>
      <c r="H134" s="61">
        <v>0</v>
      </c>
      <c r="I134" s="17">
        <v>58623.095999999998</v>
      </c>
      <c r="J134" s="22">
        <v>0</v>
      </c>
    </row>
    <row r="135" spans="1:11" ht="102">
      <c r="A135" s="9" t="s">
        <v>104</v>
      </c>
      <c r="B135" s="16" t="s">
        <v>105</v>
      </c>
      <c r="C135" s="16"/>
      <c r="D135" s="16"/>
      <c r="E135" s="16"/>
      <c r="F135" s="17">
        <v>3100</v>
      </c>
      <c r="G135" s="17">
        <f t="shared" si="1"/>
        <v>460</v>
      </c>
      <c r="H135" s="61">
        <f>3100+460</f>
        <v>3560</v>
      </c>
      <c r="I135" s="17">
        <v>3230.904</v>
      </c>
      <c r="J135" s="22">
        <v>3352.98</v>
      </c>
    </row>
    <row r="136" spans="1:11" ht="114.75">
      <c r="A136" s="10" t="s">
        <v>459</v>
      </c>
      <c r="B136" s="18" t="s">
        <v>105</v>
      </c>
      <c r="C136" s="18" t="s">
        <v>28</v>
      </c>
      <c r="D136" s="18" t="s">
        <v>87</v>
      </c>
      <c r="E136" s="18" t="s">
        <v>89</v>
      </c>
      <c r="F136" s="17">
        <v>684</v>
      </c>
      <c r="G136" s="17">
        <f t="shared" si="1"/>
        <v>124.79999999999995</v>
      </c>
      <c r="H136" s="61">
        <f>684+124.8</f>
        <v>808.8</v>
      </c>
      <c r="I136" s="17">
        <v>711.4</v>
      </c>
      <c r="J136" s="22">
        <v>739.8</v>
      </c>
      <c r="K136" s="65">
        <v>124.8</v>
      </c>
    </row>
    <row r="137" spans="1:11" ht="127.5">
      <c r="A137" s="10" t="s">
        <v>526</v>
      </c>
      <c r="B137" s="18" t="s">
        <v>105</v>
      </c>
      <c r="C137" s="18" t="s">
        <v>65</v>
      </c>
      <c r="D137" s="18" t="s">
        <v>87</v>
      </c>
      <c r="E137" s="18" t="s">
        <v>89</v>
      </c>
      <c r="F137" s="17">
        <v>2416</v>
      </c>
      <c r="G137" s="17">
        <f t="shared" si="1"/>
        <v>335.19999999999982</v>
      </c>
      <c r="H137" s="61">
        <f>2416+335.2</f>
        <v>2751.2</v>
      </c>
      <c r="I137" s="17">
        <v>2519.5039999999999</v>
      </c>
      <c r="J137" s="22">
        <v>2613.1799999999998</v>
      </c>
      <c r="K137" s="65">
        <v>335.2</v>
      </c>
    </row>
    <row r="138" spans="1:11" ht="38.25">
      <c r="A138" s="9" t="s">
        <v>399</v>
      </c>
      <c r="B138" s="16" t="s">
        <v>400</v>
      </c>
      <c r="C138" s="16"/>
      <c r="D138" s="16"/>
      <c r="E138" s="16"/>
      <c r="F138" s="34">
        <f>6922.4+105.4</f>
        <v>7027.7999999999993</v>
      </c>
      <c r="G138" s="17">
        <f t="shared" si="1"/>
        <v>105.4345200000007</v>
      </c>
      <c r="H138" s="61">
        <v>7133.23452</v>
      </c>
      <c r="I138" s="17">
        <v>0</v>
      </c>
      <c r="J138" s="22">
        <v>0</v>
      </c>
    </row>
    <row r="139" spans="1:11" ht="63.75">
      <c r="A139" s="10" t="s">
        <v>460</v>
      </c>
      <c r="B139" s="18" t="s">
        <v>400</v>
      </c>
      <c r="C139" s="18" t="s">
        <v>28</v>
      </c>
      <c r="D139" s="18" t="s">
        <v>87</v>
      </c>
      <c r="E139" s="18" t="s">
        <v>89</v>
      </c>
      <c r="F139" s="17">
        <f>4000+45.4</f>
        <v>4045.4</v>
      </c>
      <c r="G139" s="17">
        <f t="shared" si="1"/>
        <v>-999.71685000000025</v>
      </c>
      <c r="H139" s="61">
        <v>3045.6831499999998</v>
      </c>
      <c r="I139" s="17">
        <v>0</v>
      </c>
      <c r="J139" s="22">
        <v>0</v>
      </c>
    </row>
    <row r="140" spans="1:11" ht="76.5">
      <c r="A140" s="10" t="s">
        <v>527</v>
      </c>
      <c r="B140" s="18" t="s">
        <v>400</v>
      </c>
      <c r="C140" s="18" t="s">
        <v>65</v>
      </c>
      <c r="D140" s="18" t="s">
        <v>87</v>
      </c>
      <c r="E140" s="18" t="s">
        <v>89</v>
      </c>
      <c r="F140" s="17">
        <f>2922.4+60</f>
        <v>2982.4</v>
      </c>
      <c r="G140" s="17">
        <f t="shared" si="1"/>
        <v>1105.15137</v>
      </c>
      <c r="H140" s="61">
        <v>4087.5513700000001</v>
      </c>
      <c r="I140" s="17">
        <v>0</v>
      </c>
      <c r="J140" s="22">
        <v>0</v>
      </c>
    </row>
    <row r="141" spans="1:11" ht="38.25">
      <c r="A141" s="9" t="s">
        <v>401</v>
      </c>
      <c r="B141" s="16" t="s">
        <v>367</v>
      </c>
      <c r="C141" s="16"/>
      <c r="D141" s="16"/>
      <c r="E141" s="16"/>
      <c r="F141" s="17">
        <v>975</v>
      </c>
      <c r="G141" s="17">
        <f t="shared" si="1"/>
        <v>984.84771999999998</v>
      </c>
      <c r="H141" s="61">
        <v>1959.84772</v>
      </c>
      <c r="I141" s="17">
        <v>3000</v>
      </c>
      <c r="J141" s="22">
        <v>3000</v>
      </c>
    </row>
    <row r="142" spans="1:11" ht="63.75">
      <c r="A142" s="10" t="s">
        <v>461</v>
      </c>
      <c r="B142" s="18" t="s">
        <v>367</v>
      </c>
      <c r="C142" s="18" t="s">
        <v>28</v>
      </c>
      <c r="D142" s="18" t="s">
        <v>87</v>
      </c>
      <c r="E142" s="18" t="s">
        <v>89</v>
      </c>
      <c r="F142" s="17">
        <v>375</v>
      </c>
      <c r="G142" s="17">
        <f t="shared" si="1"/>
        <v>376.98730999999998</v>
      </c>
      <c r="H142" s="61">
        <v>751.98730999999998</v>
      </c>
      <c r="I142" s="17">
        <v>0</v>
      </c>
      <c r="J142" s="22">
        <v>0</v>
      </c>
    </row>
    <row r="143" spans="1:11" ht="76.5">
      <c r="A143" s="10" t="s">
        <v>528</v>
      </c>
      <c r="B143" s="18" t="s">
        <v>367</v>
      </c>
      <c r="C143" s="18" t="s">
        <v>65</v>
      </c>
      <c r="D143" s="18" t="s">
        <v>87</v>
      </c>
      <c r="E143" s="18" t="s">
        <v>89</v>
      </c>
      <c r="F143" s="17">
        <v>600</v>
      </c>
      <c r="G143" s="17">
        <f t="shared" si="1"/>
        <v>607.86041</v>
      </c>
      <c r="H143" s="61">
        <v>1207.86041</v>
      </c>
      <c r="I143" s="17">
        <v>3000</v>
      </c>
      <c r="J143" s="22">
        <v>3000</v>
      </c>
    </row>
    <row r="144" spans="1:11" ht="102">
      <c r="A144" s="9" t="s">
        <v>108</v>
      </c>
      <c r="B144" s="16" t="s">
        <v>109</v>
      </c>
      <c r="C144" s="16"/>
      <c r="D144" s="16"/>
      <c r="E144" s="16"/>
      <c r="F144" s="17">
        <v>100</v>
      </c>
      <c r="G144" s="17">
        <f t="shared" si="1"/>
        <v>1.5228400000000022</v>
      </c>
      <c r="H144" s="61">
        <v>101.52284</v>
      </c>
      <c r="I144" s="17">
        <v>100</v>
      </c>
      <c r="J144" s="22">
        <v>101.6</v>
      </c>
    </row>
    <row r="145" spans="1:11" ht="127.5">
      <c r="A145" s="10" t="s">
        <v>462</v>
      </c>
      <c r="B145" s="18" t="s">
        <v>109</v>
      </c>
      <c r="C145" s="18" t="s">
        <v>28</v>
      </c>
      <c r="D145" s="18" t="s">
        <v>87</v>
      </c>
      <c r="E145" s="18" t="s">
        <v>89</v>
      </c>
      <c r="F145" s="17">
        <v>100</v>
      </c>
      <c r="G145" s="17">
        <f t="shared" si="1"/>
        <v>-100</v>
      </c>
      <c r="H145" s="61">
        <v>0</v>
      </c>
      <c r="I145" s="17">
        <v>100</v>
      </c>
      <c r="J145" s="22">
        <v>101.6</v>
      </c>
    </row>
    <row r="146" spans="1:11" ht="102">
      <c r="A146" s="10" t="s">
        <v>108</v>
      </c>
      <c r="B146" s="62" t="s">
        <v>109</v>
      </c>
      <c r="C146" s="62" t="s">
        <v>65</v>
      </c>
      <c r="D146" s="62" t="s">
        <v>87</v>
      </c>
      <c r="E146" s="62" t="s">
        <v>89</v>
      </c>
      <c r="F146" s="17">
        <v>0</v>
      </c>
      <c r="G146" s="17">
        <f t="shared" si="1"/>
        <v>101.52284</v>
      </c>
      <c r="H146" s="61">
        <v>101.52284</v>
      </c>
      <c r="I146" s="17">
        <v>0</v>
      </c>
      <c r="J146" s="22">
        <v>0</v>
      </c>
    </row>
    <row r="147" spans="1:11" ht="25.5">
      <c r="A147" s="9" t="s">
        <v>154</v>
      </c>
      <c r="B147" s="16" t="s">
        <v>402</v>
      </c>
      <c r="C147" s="16"/>
      <c r="D147" s="16"/>
      <c r="E147" s="16"/>
      <c r="F147" s="17">
        <v>2383.24487</v>
      </c>
      <c r="G147" s="17">
        <f t="shared" si="1"/>
        <v>0</v>
      </c>
      <c r="H147" s="61">
        <v>2383.24487</v>
      </c>
      <c r="I147" s="17">
        <v>0</v>
      </c>
      <c r="J147" s="22">
        <v>0</v>
      </c>
    </row>
    <row r="148" spans="1:11" ht="51">
      <c r="A148" s="10" t="s">
        <v>463</v>
      </c>
      <c r="B148" s="18" t="s">
        <v>402</v>
      </c>
      <c r="C148" s="18" t="s">
        <v>28</v>
      </c>
      <c r="D148" s="18" t="s">
        <v>87</v>
      </c>
      <c r="E148" s="18" t="s">
        <v>89</v>
      </c>
      <c r="F148" s="17">
        <v>2383.24487</v>
      </c>
      <c r="G148" s="17">
        <f t="shared" si="1"/>
        <v>0</v>
      </c>
      <c r="H148" s="61">
        <v>2383.24487</v>
      </c>
      <c r="I148" s="17">
        <v>0</v>
      </c>
      <c r="J148" s="22">
        <v>0</v>
      </c>
    </row>
    <row r="149" spans="1:11" ht="25.5">
      <c r="A149" s="9" t="s">
        <v>403</v>
      </c>
      <c r="B149" s="16" t="s">
        <v>404</v>
      </c>
      <c r="C149" s="16"/>
      <c r="D149" s="16"/>
      <c r="E149" s="16"/>
      <c r="F149" s="17">
        <v>0</v>
      </c>
      <c r="G149" s="17">
        <f t="shared" si="1"/>
        <v>0</v>
      </c>
      <c r="H149" s="61">
        <v>0</v>
      </c>
      <c r="I149" s="17">
        <v>8759.7000000000007</v>
      </c>
      <c r="J149" s="22">
        <v>0</v>
      </c>
    </row>
    <row r="150" spans="1:11" ht="51">
      <c r="A150" s="10" t="s">
        <v>529</v>
      </c>
      <c r="B150" s="18" t="s">
        <v>404</v>
      </c>
      <c r="C150" s="18" t="s">
        <v>65</v>
      </c>
      <c r="D150" s="18" t="s">
        <v>106</v>
      </c>
      <c r="E150" s="18" t="s">
        <v>107</v>
      </c>
      <c r="F150" s="17">
        <v>0</v>
      </c>
      <c r="G150" s="17">
        <f t="shared" si="1"/>
        <v>0</v>
      </c>
      <c r="H150" s="61">
        <v>0</v>
      </c>
      <c r="I150" s="17">
        <v>8759.7000000000007</v>
      </c>
      <c r="J150" s="22">
        <v>0</v>
      </c>
    </row>
    <row r="151" spans="1:11" ht="25.5">
      <c r="A151" s="9" t="s">
        <v>405</v>
      </c>
      <c r="B151" s="16" t="s">
        <v>406</v>
      </c>
      <c r="C151" s="16"/>
      <c r="D151" s="16"/>
      <c r="E151" s="16"/>
      <c r="F151" s="17">
        <f>604222.881+1213.2</f>
        <v>605436.08100000001</v>
      </c>
      <c r="G151" s="17">
        <f t="shared" si="1"/>
        <v>15060.218999999925</v>
      </c>
      <c r="H151" s="61">
        <f>620436.1+60.2</f>
        <v>620496.29999999993</v>
      </c>
      <c r="I151" s="17">
        <v>0</v>
      </c>
      <c r="J151" s="22">
        <v>0</v>
      </c>
    </row>
    <row r="152" spans="1:11" ht="63.75">
      <c r="A152" s="10" t="s">
        <v>530</v>
      </c>
      <c r="B152" s="18" t="s">
        <v>406</v>
      </c>
      <c r="C152" s="18" t="s">
        <v>65</v>
      </c>
      <c r="D152" s="18" t="s">
        <v>87</v>
      </c>
      <c r="E152" s="18" t="s">
        <v>103</v>
      </c>
      <c r="F152" s="17">
        <f>604222.881+1213.2</f>
        <v>605436.08100000001</v>
      </c>
      <c r="G152" s="17">
        <f t="shared" si="1"/>
        <v>15060.218999999925</v>
      </c>
      <c r="H152" s="61">
        <f>620436.1+60.2</f>
        <v>620496.29999999993</v>
      </c>
      <c r="I152" s="17">
        <v>0</v>
      </c>
      <c r="J152" s="22">
        <v>0</v>
      </c>
      <c r="K152" s="65">
        <v>60.2</v>
      </c>
    </row>
    <row r="153" spans="1:11" ht="38.25">
      <c r="A153" s="57" t="s">
        <v>611</v>
      </c>
      <c r="B153" s="14" t="s">
        <v>110</v>
      </c>
      <c r="C153" s="14"/>
      <c r="D153" s="14"/>
      <c r="E153" s="14"/>
      <c r="F153" s="15">
        <v>797.15800000000002</v>
      </c>
      <c r="G153" s="17">
        <f t="shared" si="1"/>
        <v>0</v>
      </c>
      <c r="H153" s="59">
        <v>797.15800000000002</v>
      </c>
      <c r="I153" s="15">
        <v>797.15800000000002</v>
      </c>
      <c r="J153" s="27">
        <v>988.88</v>
      </c>
    </row>
    <row r="154" spans="1:11" ht="63.75">
      <c r="A154" s="9" t="s">
        <v>111</v>
      </c>
      <c r="B154" s="16" t="s">
        <v>112</v>
      </c>
      <c r="C154" s="16"/>
      <c r="D154" s="16"/>
      <c r="E154" s="16"/>
      <c r="F154" s="17">
        <v>797.15800000000002</v>
      </c>
      <c r="G154" s="17">
        <f t="shared" si="1"/>
        <v>0</v>
      </c>
      <c r="H154" s="61">
        <v>797.15800000000002</v>
      </c>
      <c r="I154" s="17">
        <v>797.15800000000002</v>
      </c>
      <c r="J154" s="22">
        <v>988.88</v>
      </c>
    </row>
    <row r="155" spans="1:11" ht="102">
      <c r="A155" s="10" t="s">
        <v>621</v>
      </c>
      <c r="B155" s="18" t="s">
        <v>112</v>
      </c>
      <c r="C155" s="18" t="s">
        <v>65</v>
      </c>
      <c r="D155" s="18" t="s">
        <v>87</v>
      </c>
      <c r="E155" s="18" t="s">
        <v>103</v>
      </c>
      <c r="F155" s="17">
        <v>797.15800000000002</v>
      </c>
      <c r="G155" s="17">
        <f t="shared" si="1"/>
        <v>0</v>
      </c>
      <c r="H155" s="61">
        <v>797.15800000000002</v>
      </c>
      <c r="I155" s="17">
        <v>797.15800000000002</v>
      </c>
      <c r="J155" s="22">
        <v>988.88</v>
      </c>
    </row>
    <row r="156" spans="1:11" ht="25.5">
      <c r="A156" s="20" t="s">
        <v>113</v>
      </c>
      <c r="B156" s="12" t="s">
        <v>114</v>
      </c>
      <c r="C156" s="12"/>
      <c r="D156" s="12"/>
      <c r="E156" s="12"/>
      <c r="F156" s="13">
        <f>41026.464+1679.9</f>
        <v>42706.364000000001</v>
      </c>
      <c r="G156" s="17">
        <f t="shared" si="1"/>
        <v>5609.5976599999995</v>
      </c>
      <c r="H156" s="56">
        <f>43137.46166+5178.5</f>
        <v>48315.961660000001</v>
      </c>
      <c r="I156" s="13">
        <v>42333.248</v>
      </c>
      <c r="J156" s="26">
        <v>44057.5</v>
      </c>
    </row>
    <row r="157" spans="1:11" ht="51">
      <c r="A157" s="21" t="s">
        <v>115</v>
      </c>
      <c r="B157" s="14" t="s">
        <v>116</v>
      </c>
      <c r="C157" s="14"/>
      <c r="D157" s="14"/>
      <c r="E157" s="14"/>
      <c r="F157" s="15">
        <f>40426.648+1679.9</f>
        <v>42106.548000000003</v>
      </c>
      <c r="G157" s="17">
        <f t="shared" si="1"/>
        <v>4383.3685899999982</v>
      </c>
      <c r="H157" s="59">
        <f>42111.41659+4378.5</f>
        <v>46489.916590000001</v>
      </c>
      <c r="I157" s="15">
        <v>41933.248</v>
      </c>
      <c r="J157" s="27">
        <v>43643.3</v>
      </c>
    </row>
    <row r="158" spans="1:11" ht="89.25">
      <c r="A158" s="9" t="s">
        <v>118</v>
      </c>
      <c r="B158" s="16" t="s">
        <v>119</v>
      </c>
      <c r="C158" s="16"/>
      <c r="D158" s="16"/>
      <c r="E158" s="16"/>
      <c r="F158" s="17">
        <f>40426.648+1679.9</f>
        <v>42106.548000000003</v>
      </c>
      <c r="G158" s="17">
        <f t="shared" si="1"/>
        <v>4383.3685899999982</v>
      </c>
      <c r="H158" s="61">
        <f>42111.41659+4378.5</f>
        <v>46489.916590000001</v>
      </c>
      <c r="I158" s="17">
        <v>41933.248</v>
      </c>
      <c r="J158" s="22">
        <v>43643.3</v>
      </c>
    </row>
    <row r="159" spans="1:11" ht="165.75">
      <c r="A159" s="10" t="s">
        <v>437</v>
      </c>
      <c r="B159" s="18" t="s">
        <v>119</v>
      </c>
      <c r="C159" s="18" t="s">
        <v>25</v>
      </c>
      <c r="D159" s="18" t="s">
        <v>87</v>
      </c>
      <c r="E159" s="18" t="s">
        <v>117</v>
      </c>
      <c r="F159" s="34">
        <f>16027.5+302</f>
        <v>16329.5</v>
      </c>
      <c r="G159" s="17">
        <f t="shared" si="1"/>
        <v>1657.0999999999985</v>
      </c>
      <c r="H159" s="61">
        <f>16329.5+1657.1</f>
        <v>17986.599999999999</v>
      </c>
      <c r="I159" s="17">
        <v>16668.599999999999</v>
      </c>
      <c r="J159" s="22">
        <v>17335.400000000001</v>
      </c>
      <c r="K159" s="65">
        <v>1657.1</v>
      </c>
    </row>
    <row r="160" spans="1:11" ht="114.75">
      <c r="A160" s="10" t="s">
        <v>464</v>
      </c>
      <c r="B160" s="18" t="s">
        <v>119</v>
      </c>
      <c r="C160" s="18" t="s">
        <v>28</v>
      </c>
      <c r="D160" s="18" t="s">
        <v>87</v>
      </c>
      <c r="E160" s="18" t="s">
        <v>117</v>
      </c>
      <c r="F160" s="17">
        <f>1564.3+396.7</f>
        <v>1961</v>
      </c>
      <c r="G160" s="17">
        <f t="shared" si="1"/>
        <v>85.08714000000009</v>
      </c>
      <c r="H160" s="61">
        <f>1946.08714+100</f>
        <v>2046.0871400000001</v>
      </c>
      <c r="I160" s="17">
        <v>1637.5</v>
      </c>
      <c r="J160" s="22">
        <v>1737.8</v>
      </c>
      <c r="K160" s="65">
        <v>100</v>
      </c>
    </row>
    <row r="161" spans="1:11" ht="114.75">
      <c r="A161" s="10" t="s">
        <v>491</v>
      </c>
      <c r="B161" s="18" t="s">
        <v>119</v>
      </c>
      <c r="C161" s="18" t="s">
        <v>48</v>
      </c>
      <c r="D161" s="18" t="s">
        <v>87</v>
      </c>
      <c r="E161" s="18" t="s">
        <v>117</v>
      </c>
      <c r="F161" s="17">
        <v>10</v>
      </c>
      <c r="G161" s="17">
        <f t="shared" si="1"/>
        <v>-10</v>
      </c>
      <c r="H161" s="61">
        <v>0</v>
      </c>
      <c r="I161" s="17">
        <v>10</v>
      </c>
      <c r="J161" s="22">
        <v>10.8</v>
      </c>
    </row>
    <row r="162" spans="1:11" ht="127.5">
      <c r="A162" s="10" t="s">
        <v>531</v>
      </c>
      <c r="B162" s="18" t="s">
        <v>119</v>
      </c>
      <c r="C162" s="18" t="s">
        <v>65</v>
      </c>
      <c r="D162" s="18" t="s">
        <v>87</v>
      </c>
      <c r="E162" s="18" t="s">
        <v>117</v>
      </c>
      <c r="F162" s="17">
        <f>22812.848+981.2</f>
        <v>23794.048000000003</v>
      </c>
      <c r="G162" s="17">
        <f t="shared" si="1"/>
        <v>2651.18145</v>
      </c>
      <c r="H162" s="61">
        <f>23823.82945+2621.4</f>
        <v>26445.229450000003</v>
      </c>
      <c r="I162" s="17">
        <v>23605.148000000001</v>
      </c>
      <c r="J162" s="22">
        <v>24547.3</v>
      </c>
      <c r="K162" s="65">
        <v>2621.4</v>
      </c>
    </row>
    <row r="163" spans="1:11" ht="102">
      <c r="A163" s="10" t="s">
        <v>545</v>
      </c>
      <c r="B163" s="18" t="s">
        <v>119</v>
      </c>
      <c r="C163" s="18" t="s">
        <v>49</v>
      </c>
      <c r="D163" s="18" t="s">
        <v>87</v>
      </c>
      <c r="E163" s="18" t="s">
        <v>117</v>
      </c>
      <c r="F163" s="17">
        <v>12</v>
      </c>
      <c r="G163" s="17">
        <f t="shared" si="1"/>
        <v>0</v>
      </c>
      <c r="H163" s="61">
        <v>12</v>
      </c>
      <c r="I163" s="17">
        <v>12</v>
      </c>
      <c r="J163" s="22">
        <v>12</v>
      </c>
    </row>
    <row r="164" spans="1:11" ht="38.25">
      <c r="A164" s="21" t="s">
        <v>120</v>
      </c>
      <c r="B164" s="14" t="s">
        <v>121</v>
      </c>
      <c r="C164" s="14"/>
      <c r="D164" s="14"/>
      <c r="E164" s="14"/>
      <c r="F164" s="15">
        <v>599.81600000000003</v>
      </c>
      <c r="G164" s="17">
        <f t="shared" si="1"/>
        <v>1226.2290699999999</v>
      </c>
      <c r="H164" s="59">
        <f>1026.04507+800</f>
        <v>1826.0450699999999</v>
      </c>
      <c r="I164" s="15">
        <v>400</v>
      </c>
      <c r="J164" s="27">
        <v>414.2</v>
      </c>
    </row>
    <row r="165" spans="1:11" ht="76.5">
      <c r="A165" s="9" t="s">
        <v>122</v>
      </c>
      <c r="B165" s="16" t="s">
        <v>123</v>
      </c>
      <c r="C165" s="16"/>
      <c r="D165" s="16"/>
      <c r="E165" s="16"/>
      <c r="F165" s="17">
        <v>599.81600000000003</v>
      </c>
      <c r="G165" s="17">
        <f t="shared" si="1"/>
        <v>1226.2290699999999</v>
      </c>
      <c r="H165" s="61">
        <f>1026.04507+800</f>
        <v>1826.0450699999999</v>
      </c>
      <c r="I165" s="17">
        <v>400</v>
      </c>
      <c r="J165" s="22">
        <v>414.2</v>
      </c>
    </row>
    <row r="166" spans="1:11" ht="89.25">
      <c r="A166" s="10" t="s">
        <v>465</v>
      </c>
      <c r="B166" s="18" t="s">
        <v>123</v>
      </c>
      <c r="C166" s="18" t="s">
        <v>28</v>
      </c>
      <c r="D166" s="18" t="s">
        <v>87</v>
      </c>
      <c r="E166" s="18" t="s">
        <v>103</v>
      </c>
      <c r="F166" s="17">
        <v>455.16305</v>
      </c>
      <c r="G166" s="17">
        <f t="shared" si="1"/>
        <v>154.24819000000002</v>
      </c>
      <c r="H166" s="61">
        <v>609.41124000000002</v>
      </c>
      <c r="I166" s="17">
        <v>400</v>
      </c>
      <c r="J166" s="22">
        <f>414.2+800</f>
        <v>1214.2</v>
      </c>
      <c r="K166" s="65">
        <v>800</v>
      </c>
    </row>
    <row r="167" spans="1:11" ht="89.25">
      <c r="A167" s="10" t="s">
        <v>492</v>
      </c>
      <c r="B167" s="18" t="s">
        <v>123</v>
      </c>
      <c r="C167" s="18" t="s">
        <v>48</v>
      </c>
      <c r="D167" s="18" t="s">
        <v>87</v>
      </c>
      <c r="E167" s="18" t="s">
        <v>103</v>
      </c>
      <c r="F167" s="17">
        <v>10</v>
      </c>
      <c r="G167" s="17">
        <f t="shared" ref="G167:G247" si="2">SUM(H167-F167)</f>
        <v>118</v>
      </c>
      <c r="H167" s="61">
        <v>128</v>
      </c>
      <c r="I167" s="17">
        <v>0</v>
      </c>
      <c r="J167" s="22">
        <v>0</v>
      </c>
    </row>
    <row r="168" spans="1:11" ht="102">
      <c r="A168" s="10" t="s">
        <v>532</v>
      </c>
      <c r="B168" s="18" t="s">
        <v>123</v>
      </c>
      <c r="C168" s="18" t="s">
        <v>65</v>
      </c>
      <c r="D168" s="18" t="s">
        <v>87</v>
      </c>
      <c r="E168" s="18" t="s">
        <v>117</v>
      </c>
      <c r="F168" s="17">
        <v>24.559000000000001</v>
      </c>
      <c r="G168" s="17">
        <f t="shared" si="2"/>
        <v>12.522679999999998</v>
      </c>
      <c r="H168" s="61">
        <v>37.081679999999999</v>
      </c>
      <c r="I168" s="17">
        <v>0</v>
      </c>
      <c r="J168" s="22">
        <v>0</v>
      </c>
    </row>
    <row r="169" spans="1:11" ht="102">
      <c r="A169" s="10" t="s">
        <v>532</v>
      </c>
      <c r="B169" s="18" t="s">
        <v>123</v>
      </c>
      <c r="C169" s="18" t="s">
        <v>65</v>
      </c>
      <c r="D169" s="18" t="s">
        <v>87</v>
      </c>
      <c r="E169" s="18" t="s">
        <v>103</v>
      </c>
      <c r="F169" s="17">
        <v>110.09395000000001</v>
      </c>
      <c r="G169" s="17">
        <f t="shared" si="2"/>
        <v>141.45820000000001</v>
      </c>
      <c r="H169" s="61">
        <v>251.55215000000001</v>
      </c>
      <c r="I169" s="17">
        <v>0</v>
      </c>
      <c r="J169" s="22">
        <v>0</v>
      </c>
    </row>
    <row r="170" spans="1:11" ht="25.5">
      <c r="A170" s="20" t="s">
        <v>124</v>
      </c>
      <c r="B170" s="12" t="s">
        <v>125</v>
      </c>
      <c r="C170" s="12"/>
      <c r="D170" s="12"/>
      <c r="E170" s="12"/>
      <c r="F170" s="13">
        <v>7261</v>
      </c>
      <c r="G170" s="17">
        <f t="shared" si="2"/>
        <v>18.062530000000152</v>
      </c>
      <c r="H170" s="56">
        <v>7279.0625300000002</v>
      </c>
      <c r="I170" s="13">
        <v>7504.4</v>
      </c>
      <c r="J170" s="26">
        <v>7863.8</v>
      </c>
    </row>
    <row r="171" spans="1:11" ht="63.75">
      <c r="A171" s="21" t="s">
        <v>407</v>
      </c>
      <c r="B171" s="14" t="s">
        <v>408</v>
      </c>
      <c r="C171" s="14"/>
      <c r="D171" s="14"/>
      <c r="E171" s="14"/>
      <c r="F171" s="15">
        <v>180</v>
      </c>
      <c r="G171" s="17">
        <f t="shared" si="2"/>
        <v>-37.165330000000012</v>
      </c>
      <c r="H171" s="59">
        <v>142.83466999999999</v>
      </c>
      <c r="I171" s="15">
        <v>380</v>
      </c>
      <c r="J171" s="27">
        <v>395.2</v>
      </c>
    </row>
    <row r="172" spans="1:11" ht="89.25">
      <c r="A172" s="9" t="s">
        <v>409</v>
      </c>
      <c r="B172" s="16" t="s">
        <v>410</v>
      </c>
      <c r="C172" s="16"/>
      <c r="D172" s="16"/>
      <c r="E172" s="16"/>
      <c r="F172" s="17">
        <v>110</v>
      </c>
      <c r="G172" s="17">
        <f t="shared" si="2"/>
        <v>32.834669999999988</v>
      </c>
      <c r="H172" s="61">
        <v>142.83466999999999</v>
      </c>
      <c r="I172" s="17">
        <v>310</v>
      </c>
      <c r="J172" s="22">
        <v>322.39999999999998</v>
      </c>
    </row>
    <row r="173" spans="1:11" ht="102">
      <c r="A173" s="10" t="s">
        <v>466</v>
      </c>
      <c r="B173" s="18" t="s">
        <v>410</v>
      </c>
      <c r="C173" s="18" t="s">
        <v>28</v>
      </c>
      <c r="D173" s="18" t="s">
        <v>87</v>
      </c>
      <c r="E173" s="18" t="s">
        <v>128</v>
      </c>
      <c r="F173" s="17">
        <v>95.226709999999997</v>
      </c>
      <c r="G173" s="17">
        <f t="shared" si="2"/>
        <v>-95.226709999999997</v>
      </c>
      <c r="H173" s="61">
        <v>0</v>
      </c>
      <c r="I173" s="17">
        <v>310</v>
      </c>
      <c r="J173" s="22">
        <v>322.39999999999998</v>
      </c>
    </row>
    <row r="174" spans="1:11" ht="114.75">
      <c r="A174" s="10" t="s">
        <v>533</v>
      </c>
      <c r="B174" s="18" t="s">
        <v>410</v>
      </c>
      <c r="C174" s="18" t="s">
        <v>65</v>
      </c>
      <c r="D174" s="18" t="s">
        <v>87</v>
      </c>
      <c r="E174" s="18" t="s">
        <v>128</v>
      </c>
      <c r="F174" s="17">
        <v>14.773289999999999</v>
      </c>
      <c r="G174" s="17">
        <f t="shared" si="2"/>
        <v>128.06137999999999</v>
      </c>
      <c r="H174" s="61">
        <v>142.83466999999999</v>
      </c>
      <c r="I174" s="17">
        <v>0</v>
      </c>
      <c r="J174" s="22">
        <v>0</v>
      </c>
    </row>
    <row r="175" spans="1:11" ht="89.25">
      <c r="A175" s="9" t="s">
        <v>411</v>
      </c>
      <c r="B175" s="16" t="s">
        <v>412</v>
      </c>
      <c r="C175" s="16"/>
      <c r="D175" s="16"/>
      <c r="E175" s="16"/>
      <c r="F175" s="17">
        <v>70</v>
      </c>
      <c r="G175" s="17">
        <f t="shared" si="2"/>
        <v>-70</v>
      </c>
      <c r="H175" s="61">
        <v>0</v>
      </c>
      <c r="I175" s="17">
        <v>70</v>
      </c>
      <c r="J175" s="22">
        <v>72.8</v>
      </c>
    </row>
    <row r="176" spans="1:11" ht="114.75">
      <c r="A176" s="10" t="s">
        <v>467</v>
      </c>
      <c r="B176" s="18" t="s">
        <v>412</v>
      </c>
      <c r="C176" s="18" t="s">
        <v>28</v>
      </c>
      <c r="D176" s="18" t="s">
        <v>87</v>
      </c>
      <c r="E176" s="18" t="s">
        <v>128</v>
      </c>
      <c r="F176" s="17">
        <v>70</v>
      </c>
      <c r="G176" s="17">
        <f t="shared" si="2"/>
        <v>-70</v>
      </c>
      <c r="H176" s="61">
        <v>0</v>
      </c>
      <c r="I176" s="17">
        <v>70</v>
      </c>
      <c r="J176" s="22">
        <v>72.8</v>
      </c>
    </row>
    <row r="177" spans="1:11" ht="25.5">
      <c r="A177" s="21" t="s">
        <v>126</v>
      </c>
      <c r="B177" s="14" t="s">
        <v>127</v>
      </c>
      <c r="C177" s="14"/>
      <c r="D177" s="14"/>
      <c r="E177" s="14"/>
      <c r="F177" s="15">
        <v>7081</v>
      </c>
      <c r="G177" s="17">
        <f t="shared" si="2"/>
        <v>55.227859999999964</v>
      </c>
      <c r="H177" s="59">
        <v>7136.22786</v>
      </c>
      <c r="I177" s="15">
        <v>7124.4</v>
      </c>
      <c r="J177" s="27">
        <v>7468.6</v>
      </c>
    </row>
    <row r="178" spans="1:11" ht="89.25">
      <c r="A178" s="9" t="s">
        <v>612</v>
      </c>
      <c r="B178" s="60" t="s">
        <v>613</v>
      </c>
      <c r="C178" s="60"/>
      <c r="D178" s="60"/>
      <c r="E178" s="60"/>
      <c r="F178" s="15">
        <v>0</v>
      </c>
      <c r="G178" s="17">
        <f t="shared" si="2"/>
        <v>595.88715999999999</v>
      </c>
      <c r="H178" s="61">
        <v>595.88715999999999</v>
      </c>
      <c r="I178" s="15">
        <v>0</v>
      </c>
      <c r="J178" s="27">
        <v>0</v>
      </c>
    </row>
    <row r="179" spans="1:11" ht="89.25">
      <c r="A179" s="10" t="s">
        <v>612</v>
      </c>
      <c r="B179" s="62" t="s">
        <v>613</v>
      </c>
      <c r="C179" s="62" t="s">
        <v>28</v>
      </c>
      <c r="D179" s="62" t="s">
        <v>87</v>
      </c>
      <c r="E179" s="62" t="s">
        <v>128</v>
      </c>
      <c r="F179" s="15">
        <v>0</v>
      </c>
      <c r="G179" s="17">
        <f t="shared" si="2"/>
        <v>33.475000000000001</v>
      </c>
      <c r="H179" s="61">
        <v>33.475000000000001</v>
      </c>
      <c r="I179" s="15">
        <v>0</v>
      </c>
      <c r="J179" s="27">
        <v>0</v>
      </c>
    </row>
    <row r="180" spans="1:11" ht="89.25">
      <c r="A180" s="10" t="s">
        <v>612</v>
      </c>
      <c r="B180" s="62" t="s">
        <v>613</v>
      </c>
      <c r="C180" s="62" t="s">
        <v>65</v>
      </c>
      <c r="D180" s="62" t="s">
        <v>87</v>
      </c>
      <c r="E180" s="62" t="s">
        <v>128</v>
      </c>
      <c r="F180" s="15">
        <v>0</v>
      </c>
      <c r="G180" s="17">
        <f t="shared" si="2"/>
        <v>562.41215999999997</v>
      </c>
      <c r="H180" s="61">
        <v>562.41215999999997</v>
      </c>
      <c r="I180" s="15">
        <v>0</v>
      </c>
      <c r="J180" s="27">
        <v>0</v>
      </c>
    </row>
    <row r="181" spans="1:11" ht="89.25">
      <c r="A181" s="9" t="s">
        <v>129</v>
      </c>
      <c r="B181" s="16" t="s">
        <v>130</v>
      </c>
      <c r="C181" s="16"/>
      <c r="D181" s="16"/>
      <c r="E181" s="16"/>
      <c r="F181" s="17">
        <v>6616</v>
      </c>
      <c r="G181" s="17">
        <f t="shared" si="2"/>
        <v>-540.65930000000026</v>
      </c>
      <c r="H181" s="61">
        <v>6075.3406999999997</v>
      </c>
      <c r="I181" s="17">
        <v>6638.6</v>
      </c>
      <c r="J181" s="22">
        <v>6962.5</v>
      </c>
    </row>
    <row r="182" spans="1:11" ht="102">
      <c r="A182" s="10" t="s">
        <v>374</v>
      </c>
      <c r="B182" s="18" t="s">
        <v>130</v>
      </c>
      <c r="C182" s="18" t="s">
        <v>28</v>
      </c>
      <c r="D182" s="18" t="s">
        <v>87</v>
      </c>
      <c r="E182" s="18" t="s">
        <v>103</v>
      </c>
      <c r="F182" s="17">
        <v>6616</v>
      </c>
      <c r="G182" s="17">
        <f t="shared" si="2"/>
        <v>-5300.0568199999998</v>
      </c>
      <c r="H182" s="61">
        <v>1315.94318</v>
      </c>
      <c r="I182" s="17">
        <v>6638.6</v>
      </c>
      <c r="J182" s="22">
        <v>6962.5</v>
      </c>
    </row>
    <row r="183" spans="1:11" ht="89.25">
      <c r="A183" s="10" t="s">
        <v>129</v>
      </c>
      <c r="B183" s="62" t="s">
        <v>130</v>
      </c>
      <c r="C183" s="62" t="s">
        <v>65</v>
      </c>
      <c r="D183" s="62" t="s">
        <v>87</v>
      </c>
      <c r="E183" s="62" t="s">
        <v>103</v>
      </c>
      <c r="F183" s="17">
        <v>0</v>
      </c>
      <c r="G183" s="17">
        <f t="shared" si="2"/>
        <v>4759.3975200000004</v>
      </c>
      <c r="H183" s="61">
        <v>4759.3975200000004</v>
      </c>
      <c r="I183" s="17">
        <v>0</v>
      </c>
      <c r="J183" s="22">
        <v>0</v>
      </c>
    </row>
    <row r="184" spans="1:11" ht="76.5">
      <c r="A184" s="9" t="s">
        <v>131</v>
      </c>
      <c r="B184" s="16" t="s">
        <v>132</v>
      </c>
      <c r="C184" s="16"/>
      <c r="D184" s="16"/>
      <c r="E184" s="16"/>
      <c r="F184" s="17">
        <v>465</v>
      </c>
      <c r="G184" s="17">
        <f t="shared" si="2"/>
        <v>0</v>
      </c>
      <c r="H184" s="61">
        <v>465</v>
      </c>
      <c r="I184" s="17">
        <v>485.8</v>
      </c>
      <c r="J184" s="22">
        <v>506.1</v>
      </c>
    </row>
    <row r="185" spans="1:11" ht="89.25">
      <c r="A185" s="10" t="s">
        <v>493</v>
      </c>
      <c r="B185" s="18" t="s">
        <v>132</v>
      </c>
      <c r="C185" s="18" t="s">
        <v>48</v>
      </c>
      <c r="D185" s="18" t="s">
        <v>87</v>
      </c>
      <c r="E185" s="18" t="s">
        <v>103</v>
      </c>
      <c r="F185" s="17">
        <v>465</v>
      </c>
      <c r="G185" s="17">
        <f t="shared" si="2"/>
        <v>0</v>
      </c>
      <c r="H185" s="61">
        <v>465</v>
      </c>
      <c r="I185" s="17">
        <v>485.8</v>
      </c>
      <c r="J185" s="22">
        <v>506.1</v>
      </c>
    </row>
    <row r="186" spans="1:11" ht="25.5">
      <c r="A186" s="20" t="s">
        <v>133</v>
      </c>
      <c r="B186" s="12" t="s">
        <v>134</v>
      </c>
      <c r="C186" s="12"/>
      <c r="D186" s="12"/>
      <c r="E186" s="12"/>
      <c r="F186" s="13">
        <f>22254.923+114.7</f>
        <v>22369.623</v>
      </c>
      <c r="G186" s="17">
        <f t="shared" si="2"/>
        <v>1649.2870299999995</v>
      </c>
      <c r="H186" s="56">
        <f>22407.31003+1611.6</f>
        <v>24018.910029999999</v>
      </c>
      <c r="I186" s="13">
        <v>23346.400000000001</v>
      </c>
      <c r="J186" s="26">
        <v>24471.54</v>
      </c>
    </row>
    <row r="187" spans="1:11" ht="63.75">
      <c r="A187" s="21" t="s">
        <v>135</v>
      </c>
      <c r="B187" s="14" t="s">
        <v>136</v>
      </c>
      <c r="C187" s="14"/>
      <c r="D187" s="14"/>
      <c r="E187" s="14"/>
      <c r="F187" s="15">
        <v>4831.8</v>
      </c>
      <c r="G187" s="17">
        <f t="shared" si="2"/>
        <v>122.90297999999984</v>
      </c>
      <c r="H187" s="59">
        <f>4667.40298+287.3</f>
        <v>4954.70298</v>
      </c>
      <c r="I187" s="15">
        <v>5141.1000000000004</v>
      </c>
      <c r="J187" s="27">
        <v>5321.8</v>
      </c>
    </row>
    <row r="188" spans="1:11" ht="127.5">
      <c r="A188" s="9" t="s">
        <v>137</v>
      </c>
      <c r="B188" s="16" t="s">
        <v>138</v>
      </c>
      <c r="C188" s="16"/>
      <c r="D188" s="16"/>
      <c r="E188" s="16"/>
      <c r="F188" s="17">
        <v>4831.8</v>
      </c>
      <c r="G188" s="17">
        <f t="shared" si="2"/>
        <v>122.90297999999984</v>
      </c>
      <c r="H188" s="61">
        <f>4667.40298+287.3</f>
        <v>4954.70298</v>
      </c>
      <c r="I188" s="17">
        <v>5141.1000000000004</v>
      </c>
      <c r="J188" s="22">
        <v>5321.8</v>
      </c>
    </row>
    <row r="189" spans="1:11" ht="204">
      <c r="A189" s="10" t="s">
        <v>438</v>
      </c>
      <c r="B189" s="18" t="s">
        <v>138</v>
      </c>
      <c r="C189" s="18" t="s">
        <v>25</v>
      </c>
      <c r="D189" s="18" t="s">
        <v>87</v>
      </c>
      <c r="E189" s="18" t="s">
        <v>103</v>
      </c>
      <c r="F189" s="17">
        <v>4292.6000000000004</v>
      </c>
      <c r="G189" s="17">
        <f t="shared" si="2"/>
        <v>167.30000000000018</v>
      </c>
      <c r="H189" s="61">
        <f>4292.6+167.3</f>
        <v>4459.9000000000005</v>
      </c>
      <c r="I189" s="17">
        <v>4464.5</v>
      </c>
      <c r="J189" s="22">
        <v>4642.8999999999996</v>
      </c>
      <c r="K189" s="65">
        <v>167.3</v>
      </c>
    </row>
    <row r="190" spans="1:11" ht="153">
      <c r="A190" s="10" t="s">
        <v>468</v>
      </c>
      <c r="B190" s="18" t="s">
        <v>138</v>
      </c>
      <c r="C190" s="18" t="s">
        <v>28</v>
      </c>
      <c r="D190" s="18" t="s">
        <v>87</v>
      </c>
      <c r="E190" s="18" t="s">
        <v>103</v>
      </c>
      <c r="F190" s="17">
        <v>539.20000000000005</v>
      </c>
      <c r="G190" s="17">
        <f t="shared" si="2"/>
        <v>-44.397020000000055</v>
      </c>
      <c r="H190" s="61">
        <f>374.80298+120</f>
        <v>494.80297999999999</v>
      </c>
      <c r="I190" s="17">
        <v>676.6</v>
      </c>
      <c r="J190" s="22">
        <v>678.9</v>
      </c>
      <c r="K190" s="65">
        <v>120</v>
      </c>
    </row>
    <row r="191" spans="1:11" ht="63.75">
      <c r="A191" s="21" t="s">
        <v>139</v>
      </c>
      <c r="B191" s="14" t="s">
        <v>140</v>
      </c>
      <c r="C191" s="14"/>
      <c r="D191" s="14"/>
      <c r="E191" s="14"/>
      <c r="F191" s="15">
        <f>17423.123+114.7</f>
        <v>17537.823</v>
      </c>
      <c r="G191" s="17">
        <f t="shared" si="2"/>
        <v>1526.3840500000006</v>
      </c>
      <c r="H191" s="59">
        <f>17739.90705+1324.3</f>
        <v>19064.207050000001</v>
      </c>
      <c r="I191" s="15">
        <v>18205.3</v>
      </c>
      <c r="J191" s="27">
        <v>19149.740000000002</v>
      </c>
    </row>
    <row r="192" spans="1:11" ht="89.25">
      <c r="A192" s="9" t="s">
        <v>602</v>
      </c>
      <c r="B192" s="60" t="s">
        <v>614</v>
      </c>
      <c r="C192" s="60"/>
      <c r="D192" s="60"/>
      <c r="E192" s="60"/>
      <c r="F192" s="15">
        <v>0</v>
      </c>
      <c r="G192" s="17">
        <f t="shared" si="2"/>
        <v>125.97533</v>
      </c>
      <c r="H192" s="61">
        <v>125.97533</v>
      </c>
      <c r="I192" s="15">
        <v>0</v>
      </c>
      <c r="J192" s="27">
        <v>0</v>
      </c>
    </row>
    <row r="193" spans="1:11" ht="89.25">
      <c r="A193" s="10" t="s">
        <v>602</v>
      </c>
      <c r="B193" s="62" t="s">
        <v>614</v>
      </c>
      <c r="C193" s="62" t="s">
        <v>25</v>
      </c>
      <c r="D193" s="62" t="s">
        <v>87</v>
      </c>
      <c r="E193" s="62" t="s">
        <v>103</v>
      </c>
      <c r="F193" s="15">
        <v>0</v>
      </c>
      <c r="G193" s="17">
        <f t="shared" si="2"/>
        <v>125.97533</v>
      </c>
      <c r="H193" s="61">
        <v>125.97533</v>
      </c>
      <c r="I193" s="15">
        <v>0</v>
      </c>
      <c r="J193" s="27">
        <v>0</v>
      </c>
    </row>
    <row r="194" spans="1:11" ht="102">
      <c r="A194" s="9" t="s">
        <v>141</v>
      </c>
      <c r="B194" s="16" t="s">
        <v>142</v>
      </c>
      <c r="C194" s="16"/>
      <c r="D194" s="16"/>
      <c r="E194" s="16"/>
      <c r="F194" s="17">
        <f>17423.123+114.7</f>
        <v>17537.823</v>
      </c>
      <c r="G194" s="17">
        <f t="shared" si="2"/>
        <v>1400.4087199999994</v>
      </c>
      <c r="H194" s="61">
        <f>17613.93172+1324.3</f>
        <v>18938.23172</v>
      </c>
      <c r="I194" s="17">
        <v>18205.3</v>
      </c>
      <c r="J194" s="22">
        <v>19149.740000000002</v>
      </c>
    </row>
    <row r="195" spans="1:11" ht="165.75">
      <c r="A195" s="10" t="s">
        <v>439</v>
      </c>
      <c r="B195" s="18" t="s">
        <v>142</v>
      </c>
      <c r="C195" s="18" t="s">
        <v>25</v>
      </c>
      <c r="D195" s="18" t="s">
        <v>87</v>
      </c>
      <c r="E195" s="18" t="s">
        <v>103</v>
      </c>
      <c r="F195" s="17">
        <f>15781.823+114.7</f>
        <v>15896.523000000001</v>
      </c>
      <c r="G195" s="17">
        <f t="shared" si="2"/>
        <v>874.29999999999927</v>
      </c>
      <c r="H195" s="61">
        <f>15896.523+874.3</f>
        <v>16770.823</v>
      </c>
      <c r="I195" s="17">
        <v>16260</v>
      </c>
      <c r="J195" s="22">
        <v>17069.54</v>
      </c>
      <c r="K195" s="65">
        <v>874.3</v>
      </c>
    </row>
    <row r="196" spans="1:11" ht="114.75">
      <c r="A196" s="10" t="s">
        <v>469</v>
      </c>
      <c r="B196" s="18" t="s">
        <v>142</v>
      </c>
      <c r="C196" s="18" t="s">
        <v>28</v>
      </c>
      <c r="D196" s="18" t="s">
        <v>87</v>
      </c>
      <c r="E196" s="18" t="s">
        <v>103</v>
      </c>
      <c r="F196" s="17">
        <v>1635.3</v>
      </c>
      <c r="G196" s="17">
        <f t="shared" si="2"/>
        <v>531.25872000000004</v>
      </c>
      <c r="H196" s="61">
        <f>1716.55872+450</f>
        <v>2166.55872</v>
      </c>
      <c r="I196" s="17">
        <v>1945.3</v>
      </c>
      <c r="J196" s="22">
        <v>2080.1999999999998</v>
      </c>
      <c r="K196" s="65">
        <v>450</v>
      </c>
    </row>
    <row r="197" spans="1:11" ht="102">
      <c r="A197" s="10" t="s">
        <v>375</v>
      </c>
      <c r="B197" s="18" t="s">
        <v>142</v>
      </c>
      <c r="C197" s="18" t="s">
        <v>49</v>
      </c>
      <c r="D197" s="18" t="s">
        <v>87</v>
      </c>
      <c r="E197" s="18" t="s">
        <v>103</v>
      </c>
      <c r="F197" s="17">
        <v>6</v>
      </c>
      <c r="G197" s="17">
        <f t="shared" si="2"/>
        <v>-5.15</v>
      </c>
      <c r="H197" s="61">
        <v>0.85</v>
      </c>
      <c r="I197" s="17">
        <v>0</v>
      </c>
      <c r="J197" s="22">
        <v>0</v>
      </c>
    </row>
    <row r="198" spans="1:11" ht="25.5">
      <c r="A198" s="20" t="s">
        <v>143</v>
      </c>
      <c r="B198" s="12" t="s">
        <v>144</v>
      </c>
      <c r="C198" s="12"/>
      <c r="D198" s="12"/>
      <c r="E198" s="12"/>
      <c r="F198" s="13">
        <f>38323.01192+2532.1</f>
        <v>40855.111919999996</v>
      </c>
      <c r="G198" s="17">
        <f t="shared" si="2"/>
        <v>2242.0531100000007</v>
      </c>
      <c r="H198" s="56">
        <f>40996.46503+2100.7</f>
        <v>43097.165029999996</v>
      </c>
      <c r="I198" s="13">
        <v>39845.927920000002</v>
      </c>
      <c r="J198" s="26">
        <v>41123.627919999999</v>
      </c>
    </row>
    <row r="199" spans="1:11" ht="38.25">
      <c r="A199" s="21" t="s">
        <v>145</v>
      </c>
      <c r="B199" s="14" t="s">
        <v>146</v>
      </c>
      <c r="C199" s="14"/>
      <c r="D199" s="14"/>
      <c r="E199" s="14"/>
      <c r="F199" s="15">
        <v>1060.5840000000001</v>
      </c>
      <c r="G199" s="17">
        <f t="shared" si="2"/>
        <v>541.33102999999983</v>
      </c>
      <c r="H199" s="59">
        <f>1101.91503+500</f>
        <v>1601.9150299999999</v>
      </c>
      <c r="I199" s="15">
        <v>1060.4000000000001</v>
      </c>
      <c r="J199" s="27">
        <v>1145.3</v>
      </c>
    </row>
    <row r="200" spans="1:11" ht="76.5">
      <c r="A200" s="9" t="s">
        <v>147</v>
      </c>
      <c r="B200" s="16" t="s">
        <v>148</v>
      </c>
      <c r="C200" s="16"/>
      <c r="D200" s="16"/>
      <c r="E200" s="16"/>
      <c r="F200" s="17">
        <v>1060.5840000000001</v>
      </c>
      <c r="G200" s="17">
        <f t="shared" si="2"/>
        <v>541.33102999999983</v>
      </c>
      <c r="H200" s="61">
        <f>1101.91503+500</f>
        <v>1601.9150299999999</v>
      </c>
      <c r="I200" s="17">
        <v>1060.4000000000001</v>
      </c>
      <c r="J200" s="22">
        <v>1145.3</v>
      </c>
    </row>
    <row r="201" spans="1:11" ht="102">
      <c r="A201" s="10" t="s">
        <v>470</v>
      </c>
      <c r="B201" s="18" t="s">
        <v>148</v>
      </c>
      <c r="C201" s="18" t="s">
        <v>28</v>
      </c>
      <c r="D201" s="18" t="s">
        <v>106</v>
      </c>
      <c r="E201" s="18" t="s">
        <v>149</v>
      </c>
      <c r="F201" s="17">
        <v>975.37676999999996</v>
      </c>
      <c r="G201" s="17">
        <f t="shared" si="2"/>
        <v>320.18302000000006</v>
      </c>
      <c r="H201" s="61">
        <f>795.55979+500</f>
        <v>1295.55979</v>
      </c>
      <c r="I201" s="17">
        <v>1060.4000000000001</v>
      </c>
      <c r="J201" s="22">
        <v>1145.3</v>
      </c>
      <c r="K201" s="65">
        <v>500</v>
      </c>
    </row>
    <row r="202" spans="1:11" ht="114.75">
      <c r="A202" s="10" t="s">
        <v>534</v>
      </c>
      <c r="B202" s="18" t="s">
        <v>148</v>
      </c>
      <c r="C202" s="18" t="s">
        <v>65</v>
      </c>
      <c r="D202" s="18" t="s">
        <v>106</v>
      </c>
      <c r="E202" s="18" t="s">
        <v>149</v>
      </c>
      <c r="F202" s="17">
        <v>85.207229999999996</v>
      </c>
      <c r="G202" s="17">
        <f t="shared" si="2"/>
        <v>221.14801</v>
      </c>
      <c r="H202" s="61">
        <v>306.35523999999998</v>
      </c>
      <c r="I202" s="17">
        <v>0</v>
      </c>
      <c r="J202" s="22">
        <v>0</v>
      </c>
    </row>
    <row r="203" spans="1:11" ht="38.25">
      <c r="A203" s="21" t="s">
        <v>150</v>
      </c>
      <c r="B203" s="14" t="s">
        <v>151</v>
      </c>
      <c r="C203" s="14"/>
      <c r="D203" s="14"/>
      <c r="E203" s="14"/>
      <c r="F203" s="15">
        <f>37262.42792+2532.1</f>
        <v>39794.52792</v>
      </c>
      <c r="G203" s="17">
        <f t="shared" si="2"/>
        <v>1700.7220799999996</v>
      </c>
      <c r="H203" s="59">
        <f>39894.55+1600.7</f>
        <v>41495.25</v>
      </c>
      <c r="I203" s="15">
        <v>38785.52792</v>
      </c>
      <c r="J203" s="27">
        <v>39978.327920000003</v>
      </c>
    </row>
    <row r="204" spans="1:11" ht="25.5">
      <c r="A204" s="9" t="s">
        <v>572</v>
      </c>
      <c r="B204" s="60" t="s">
        <v>615</v>
      </c>
      <c r="C204" s="60"/>
      <c r="D204" s="60"/>
      <c r="E204" s="60"/>
      <c r="F204" s="15">
        <v>0</v>
      </c>
      <c r="G204" s="17">
        <f t="shared" si="2"/>
        <v>100</v>
      </c>
      <c r="H204" s="61">
        <v>100</v>
      </c>
      <c r="I204" s="15">
        <v>0</v>
      </c>
      <c r="J204" s="27">
        <v>0</v>
      </c>
    </row>
    <row r="205" spans="1:11" ht="25.5">
      <c r="A205" s="10" t="s">
        <v>572</v>
      </c>
      <c r="B205" s="62" t="s">
        <v>615</v>
      </c>
      <c r="C205" s="62" t="s">
        <v>65</v>
      </c>
      <c r="D205" s="62" t="s">
        <v>106</v>
      </c>
      <c r="E205" s="62" t="s">
        <v>107</v>
      </c>
      <c r="F205" s="15">
        <v>0</v>
      </c>
      <c r="G205" s="17">
        <f t="shared" si="2"/>
        <v>100</v>
      </c>
      <c r="H205" s="61">
        <v>100</v>
      </c>
      <c r="I205" s="15">
        <v>0</v>
      </c>
      <c r="J205" s="27">
        <v>0</v>
      </c>
    </row>
    <row r="206" spans="1:11" ht="89.25">
      <c r="A206" s="9" t="s">
        <v>152</v>
      </c>
      <c r="B206" s="16" t="s">
        <v>153</v>
      </c>
      <c r="C206" s="16"/>
      <c r="D206" s="16"/>
      <c r="E206" s="16"/>
      <c r="F206" s="17">
        <f>36098.2+2532.1</f>
        <v>38630.299999999996</v>
      </c>
      <c r="G206" s="17">
        <f t="shared" si="2"/>
        <v>1600.7000000000044</v>
      </c>
      <c r="H206" s="61">
        <f>38630.3+1600.7</f>
        <v>40231</v>
      </c>
      <c r="I206" s="17">
        <v>37628.300000000003</v>
      </c>
      <c r="J206" s="22">
        <v>38821.1</v>
      </c>
    </row>
    <row r="207" spans="1:11" ht="127.5">
      <c r="A207" s="10" t="s">
        <v>362</v>
      </c>
      <c r="B207" s="18" t="s">
        <v>153</v>
      </c>
      <c r="C207" s="18" t="s">
        <v>65</v>
      </c>
      <c r="D207" s="18" t="s">
        <v>106</v>
      </c>
      <c r="E207" s="18" t="s">
        <v>107</v>
      </c>
      <c r="F207" s="17">
        <f>36098.2+2532.1</f>
        <v>38630.299999999996</v>
      </c>
      <c r="G207" s="17">
        <f t="shared" si="2"/>
        <v>1600.7000000000044</v>
      </c>
      <c r="H207" s="61">
        <f>38630.3+1600.7</f>
        <v>40231</v>
      </c>
      <c r="I207" s="17">
        <v>37628.300000000003</v>
      </c>
      <c r="J207" s="22">
        <v>38821.1</v>
      </c>
      <c r="K207" s="65">
        <v>1600.7</v>
      </c>
    </row>
    <row r="208" spans="1:11" ht="38.25">
      <c r="A208" s="9" t="s">
        <v>155</v>
      </c>
      <c r="B208" s="16" t="s">
        <v>156</v>
      </c>
      <c r="C208" s="16"/>
      <c r="D208" s="16"/>
      <c r="E208" s="16"/>
      <c r="F208" s="17">
        <v>1164.22792</v>
      </c>
      <c r="G208" s="17">
        <f t="shared" si="2"/>
        <v>2.2079999999959909E-2</v>
      </c>
      <c r="H208" s="61">
        <v>1164.25</v>
      </c>
      <c r="I208" s="17">
        <v>1157.22792</v>
      </c>
      <c r="J208" s="22">
        <v>1157.22792</v>
      </c>
    </row>
    <row r="209" spans="1:10" ht="38.25">
      <c r="A209" s="10" t="s">
        <v>503</v>
      </c>
      <c r="B209" s="18" t="s">
        <v>156</v>
      </c>
      <c r="C209" s="18" t="s">
        <v>37</v>
      </c>
      <c r="D209" s="18" t="s">
        <v>106</v>
      </c>
      <c r="E209" s="18" t="s">
        <v>107</v>
      </c>
      <c r="F209" s="17">
        <v>698.52791999999999</v>
      </c>
      <c r="G209" s="17">
        <f t="shared" si="2"/>
        <v>2.2079999999959909E-2</v>
      </c>
      <c r="H209" s="61">
        <v>698.55</v>
      </c>
      <c r="I209" s="17">
        <v>698.52791999999999</v>
      </c>
      <c r="J209" s="22">
        <v>698.52791999999999</v>
      </c>
    </row>
    <row r="210" spans="1:10" ht="63.75">
      <c r="A210" s="10" t="s">
        <v>363</v>
      </c>
      <c r="B210" s="18" t="s">
        <v>156</v>
      </c>
      <c r="C210" s="18" t="s">
        <v>65</v>
      </c>
      <c r="D210" s="18" t="s">
        <v>106</v>
      </c>
      <c r="E210" s="18" t="s">
        <v>107</v>
      </c>
      <c r="F210" s="17">
        <v>465.7</v>
      </c>
      <c r="G210" s="17">
        <f t="shared" si="2"/>
        <v>0</v>
      </c>
      <c r="H210" s="61">
        <v>465.7</v>
      </c>
      <c r="I210" s="17">
        <v>458.7</v>
      </c>
      <c r="J210" s="22">
        <v>458.7</v>
      </c>
    </row>
    <row r="211" spans="1:10" ht="105.75" thickBot="1">
      <c r="A211" s="23" t="s">
        <v>157</v>
      </c>
      <c r="B211" s="24" t="s">
        <v>158</v>
      </c>
      <c r="C211" s="24"/>
      <c r="D211" s="24"/>
      <c r="E211" s="24"/>
      <c r="F211" s="11">
        <f>72279.74+5851.7</f>
        <v>78131.44</v>
      </c>
      <c r="G211" s="17">
        <f t="shared" si="2"/>
        <v>-2549.8028300000005</v>
      </c>
      <c r="H211" s="55">
        <v>75581.637170000002</v>
      </c>
      <c r="I211" s="11">
        <v>7718.8616700000002</v>
      </c>
      <c r="J211" s="25">
        <v>7741.3005499999999</v>
      </c>
    </row>
    <row r="212" spans="1:10" ht="63.75">
      <c r="A212" s="20" t="s">
        <v>159</v>
      </c>
      <c r="B212" s="12" t="s">
        <v>160</v>
      </c>
      <c r="C212" s="12"/>
      <c r="D212" s="12"/>
      <c r="E212" s="12"/>
      <c r="F212" s="13">
        <v>32390.739999999998</v>
      </c>
      <c r="G212" s="17">
        <f t="shared" si="2"/>
        <v>-3.9999999997235136E-2</v>
      </c>
      <c r="H212" s="56">
        <v>32390.7</v>
      </c>
      <c r="I212" s="13">
        <v>3820.66167</v>
      </c>
      <c r="J212" s="26">
        <v>3843.1005500000001</v>
      </c>
    </row>
    <row r="213" spans="1:10" ht="25.5">
      <c r="A213" s="21" t="s">
        <v>161</v>
      </c>
      <c r="B213" s="14" t="s">
        <v>162</v>
      </c>
      <c r="C213" s="14"/>
      <c r="D213" s="14"/>
      <c r="E213" s="14"/>
      <c r="F213" s="15">
        <f>3974.04+61.6</f>
        <v>4035.64</v>
      </c>
      <c r="G213" s="17">
        <f t="shared" si="2"/>
        <v>-3.999999999996362E-2</v>
      </c>
      <c r="H213" s="59">
        <v>4035.6</v>
      </c>
      <c r="I213" s="15">
        <v>3820.66167</v>
      </c>
      <c r="J213" s="27">
        <v>3843.1005500000001</v>
      </c>
    </row>
    <row r="214" spans="1:10" ht="25.5">
      <c r="A214" s="9" t="s">
        <v>165</v>
      </c>
      <c r="B214" s="16" t="s">
        <v>166</v>
      </c>
      <c r="C214" s="16"/>
      <c r="D214" s="16"/>
      <c r="E214" s="16"/>
      <c r="F214" s="17">
        <f>3974.04+61.6</f>
        <v>4035.64</v>
      </c>
      <c r="G214" s="17">
        <f t="shared" si="2"/>
        <v>-3.999999999996362E-2</v>
      </c>
      <c r="H214" s="61">
        <v>4035.6</v>
      </c>
      <c r="I214" s="17">
        <v>3820.66167</v>
      </c>
      <c r="J214" s="22">
        <v>3843.1005500000001</v>
      </c>
    </row>
    <row r="215" spans="1:10" ht="51">
      <c r="A215" s="10" t="s">
        <v>494</v>
      </c>
      <c r="B215" s="18" t="s">
        <v>166</v>
      </c>
      <c r="C215" s="18" t="s">
        <v>48</v>
      </c>
      <c r="D215" s="18" t="s">
        <v>66</v>
      </c>
      <c r="E215" s="18" t="s">
        <v>78</v>
      </c>
      <c r="F215" s="17">
        <f>3974.04+61.6</f>
        <v>4035.64</v>
      </c>
      <c r="G215" s="17">
        <f t="shared" si="2"/>
        <v>-3.999999999996362E-2</v>
      </c>
      <c r="H215" s="61">
        <v>4035.6</v>
      </c>
      <c r="I215" s="17">
        <v>3820.66167</v>
      </c>
      <c r="J215" s="22">
        <v>3843.1005500000001</v>
      </c>
    </row>
    <row r="216" spans="1:10" ht="63.75">
      <c r="A216" s="21" t="s">
        <v>413</v>
      </c>
      <c r="B216" s="14" t="s">
        <v>414</v>
      </c>
      <c r="C216" s="14"/>
      <c r="D216" s="14"/>
      <c r="E216" s="14"/>
      <c r="F216" s="15">
        <v>28355.1</v>
      </c>
      <c r="G216" s="17">
        <f t="shared" si="2"/>
        <v>0</v>
      </c>
      <c r="H216" s="59">
        <v>28355.1</v>
      </c>
      <c r="I216" s="15">
        <v>0</v>
      </c>
      <c r="J216" s="27">
        <v>0</v>
      </c>
    </row>
    <row r="217" spans="1:10" ht="63.75">
      <c r="A217" s="9" t="s">
        <v>415</v>
      </c>
      <c r="B217" s="16" t="s">
        <v>416</v>
      </c>
      <c r="C217" s="16"/>
      <c r="D217" s="16"/>
      <c r="E217" s="16"/>
      <c r="F217" s="17">
        <v>28355.1</v>
      </c>
      <c r="G217" s="17">
        <f t="shared" si="2"/>
        <v>0</v>
      </c>
      <c r="H217" s="61">
        <v>28355.1</v>
      </c>
      <c r="I217" s="17">
        <v>0</v>
      </c>
      <c r="J217" s="22">
        <v>0</v>
      </c>
    </row>
    <row r="218" spans="1:10" ht="63.75">
      <c r="A218" s="10" t="s">
        <v>504</v>
      </c>
      <c r="B218" s="18" t="s">
        <v>416</v>
      </c>
      <c r="C218" s="18" t="s">
        <v>37</v>
      </c>
      <c r="D218" s="18" t="s">
        <v>163</v>
      </c>
      <c r="E218" s="18" t="s">
        <v>164</v>
      </c>
      <c r="F218" s="17">
        <v>28355.1</v>
      </c>
      <c r="G218" s="17">
        <f t="shared" si="2"/>
        <v>0</v>
      </c>
      <c r="H218" s="61">
        <v>28355.1</v>
      </c>
      <c r="I218" s="17">
        <v>0</v>
      </c>
      <c r="J218" s="22">
        <v>0</v>
      </c>
    </row>
    <row r="219" spans="1:10" ht="63.75">
      <c r="A219" s="20" t="s">
        <v>167</v>
      </c>
      <c r="B219" s="12" t="s">
        <v>168</v>
      </c>
      <c r="C219" s="12"/>
      <c r="D219" s="12"/>
      <c r="E219" s="12"/>
      <c r="F219" s="13">
        <f>39889.1+5851.7</f>
        <v>45740.799999999996</v>
      </c>
      <c r="G219" s="17">
        <f t="shared" si="2"/>
        <v>-2549.8628299999982</v>
      </c>
      <c r="H219" s="56">
        <v>43190.937169999997</v>
      </c>
      <c r="I219" s="13">
        <v>3898.2</v>
      </c>
      <c r="J219" s="26">
        <v>3898.2</v>
      </c>
    </row>
    <row r="220" spans="1:10" ht="38.25">
      <c r="A220" s="21" t="s">
        <v>169</v>
      </c>
      <c r="B220" s="14" t="s">
        <v>170</v>
      </c>
      <c r="C220" s="14"/>
      <c r="D220" s="14"/>
      <c r="E220" s="14"/>
      <c r="F220" s="35">
        <f>1415.2+3596.7</f>
        <v>5011.8999999999996</v>
      </c>
      <c r="G220" s="17">
        <f t="shared" si="2"/>
        <v>-7.1609999999964202E-2</v>
      </c>
      <c r="H220" s="59">
        <v>5011.8283899999997</v>
      </c>
      <c r="I220" s="15">
        <v>3898.2</v>
      </c>
      <c r="J220" s="27">
        <v>3898.2</v>
      </c>
    </row>
    <row r="221" spans="1:10" ht="38.25">
      <c r="A221" s="10" t="s">
        <v>588</v>
      </c>
      <c r="B221" s="38" t="s">
        <v>587</v>
      </c>
      <c r="C221" s="38"/>
      <c r="D221" s="38"/>
      <c r="E221" s="38"/>
      <c r="F221" s="54">
        <v>3596.7</v>
      </c>
      <c r="G221" s="17">
        <f t="shared" si="2"/>
        <v>-4.0029999999660504E-2</v>
      </c>
      <c r="H221" s="61">
        <v>3596.6599700000002</v>
      </c>
      <c r="I221" s="39">
        <v>0</v>
      </c>
      <c r="J221" s="41">
        <v>0</v>
      </c>
    </row>
    <row r="222" spans="1:10" ht="51">
      <c r="A222" s="10" t="s">
        <v>589</v>
      </c>
      <c r="B222" s="38" t="s">
        <v>587</v>
      </c>
      <c r="C222" s="38" t="s">
        <v>37</v>
      </c>
      <c r="D222" s="38" t="s">
        <v>163</v>
      </c>
      <c r="E222" s="38" t="s">
        <v>173</v>
      </c>
      <c r="F222" s="54">
        <v>3596.7</v>
      </c>
      <c r="G222" s="17">
        <f t="shared" si="2"/>
        <v>-4.0029999999660504E-2</v>
      </c>
      <c r="H222" s="61">
        <v>3596.6599700000002</v>
      </c>
      <c r="I222" s="39">
        <v>0</v>
      </c>
      <c r="J222" s="41">
        <v>0</v>
      </c>
    </row>
    <row r="223" spans="1:10">
      <c r="A223" s="42" t="s">
        <v>552</v>
      </c>
      <c r="B223" s="38" t="s">
        <v>551</v>
      </c>
      <c r="C223" s="38"/>
      <c r="D223" s="38" t="s">
        <v>163</v>
      </c>
      <c r="E223" s="38" t="s">
        <v>173</v>
      </c>
      <c r="F223" s="39">
        <v>1415.2</v>
      </c>
      <c r="G223" s="40">
        <f t="shared" si="2"/>
        <v>-3.1580000000076325E-2</v>
      </c>
      <c r="H223" s="61">
        <v>1415.16842</v>
      </c>
      <c r="I223" s="39">
        <v>0</v>
      </c>
      <c r="J223" s="41">
        <v>0</v>
      </c>
    </row>
    <row r="224" spans="1:10" ht="25.5">
      <c r="A224" s="42" t="s">
        <v>553</v>
      </c>
      <c r="B224" s="38" t="s">
        <v>551</v>
      </c>
      <c r="C224" s="38" t="s">
        <v>37</v>
      </c>
      <c r="D224" s="38" t="s">
        <v>163</v>
      </c>
      <c r="E224" s="38" t="s">
        <v>173</v>
      </c>
      <c r="F224" s="39">
        <v>1415.2</v>
      </c>
      <c r="G224" s="40">
        <f t="shared" si="2"/>
        <v>-3.1580000000076325E-2</v>
      </c>
      <c r="H224" s="61">
        <v>1415.16842</v>
      </c>
      <c r="I224" s="39">
        <v>0</v>
      </c>
      <c r="J224" s="41">
        <v>0</v>
      </c>
    </row>
    <row r="225" spans="1:10" ht="38.25">
      <c r="A225" s="9" t="s">
        <v>171</v>
      </c>
      <c r="B225" s="16" t="s">
        <v>172</v>
      </c>
      <c r="C225" s="37" t="s">
        <v>37</v>
      </c>
      <c r="D225" s="37" t="s">
        <v>163</v>
      </c>
      <c r="E225" s="37" t="s">
        <v>173</v>
      </c>
      <c r="F225" s="17">
        <v>0</v>
      </c>
      <c r="G225" s="17">
        <f t="shared" si="2"/>
        <v>0</v>
      </c>
      <c r="H225" s="61">
        <v>0</v>
      </c>
      <c r="I225" s="17">
        <v>3898.2</v>
      </c>
      <c r="J225" s="22">
        <v>3898.2</v>
      </c>
    </row>
    <row r="226" spans="1:10" ht="38.25">
      <c r="A226" s="10" t="s">
        <v>560</v>
      </c>
      <c r="B226" s="18" t="s">
        <v>172</v>
      </c>
      <c r="C226" s="18" t="s">
        <v>37</v>
      </c>
      <c r="D226" s="18" t="s">
        <v>163</v>
      </c>
      <c r="E226" s="18" t="s">
        <v>173</v>
      </c>
      <c r="F226" s="17">
        <v>0</v>
      </c>
      <c r="G226" s="17">
        <f t="shared" si="2"/>
        <v>0</v>
      </c>
      <c r="H226" s="61">
        <v>0</v>
      </c>
      <c r="I226" s="17">
        <v>3898.2</v>
      </c>
      <c r="J226" s="22">
        <v>3898.2</v>
      </c>
    </row>
    <row r="227" spans="1:10" ht="25.5">
      <c r="A227" s="21" t="s">
        <v>174</v>
      </c>
      <c r="B227" s="14" t="s">
        <v>175</v>
      </c>
      <c r="C227" s="14"/>
      <c r="D227" s="14"/>
      <c r="E227" s="14"/>
      <c r="F227" s="15">
        <f>11910+181.4</f>
        <v>12091.4</v>
      </c>
      <c r="G227" s="17">
        <f t="shared" si="2"/>
        <v>-2.9440000000249711E-2</v>
      </c>
      <c r="H227" s="59">
        <v>12091.370559999999</v>
      </c>
      <c r="I227" s="15">
        <v>0</v>
      </c>
      <c r="J227" s="27">
        <v>0</v>
      </c>
    </row>
    <row r="228" spans="1:10" ht="25.5">
      <c r="A228" s="9" t="s">
        <v>176</v>
      </c>
      <c r="B228" s="16" t="s">
        <v>177</v>
      </c>
      <c r="C228" s="16"/>
      <c r="D228" s="16"/>
      <c r="E228" s="16"/>
      <c r="F228" s="17">
        <f>11910+181.4</f>
        <v>12091.4</v>
      </c>
      <c r="G228" s="17">
        <f t="shared" si="2"/>
        <v>-2.9440000000249711E-2</v>
      </c>
      <c r="H228" s="61">
        <v>12091.370559999999</v>
      </c>
      <c r="I228" s="17">
        <v>0</v>
      </c>
      <c r="J228" s="22">
        <v>0</v>
      </c>
    </row>
    <row r="229" spans="1:10" ht="38.25">
      <c r="A229" s="10" t="s">
        <v>561</v>
      </c>
      <c r="B229" s="18" t="s">
        <v>177</v>
      </c>
      <c r="C229" s="47" t="s">
        <v>37</v>
      </c>
      <c r="D229" s="18" t="s">
        <v>163</v>
      </c>
      <c r="E229" s="18" t="s">
        <v>173</v>
      </c>
      <c r="F229" s="17">
        <f>11910+181.4</f>
        <v>12091.4</v>
      </c>
      <c r="G229" s="17">
        <f t="shared" si="2"/>
        <v>-2.9440000000249711E-2</v>
      </c>
      <c r="H229" s="61">
        <v>12091.370559999999</v>
      </c>
      <c r="I229" s="17">
        <v>0</v>
      </c>
      <c r="J229" s="22">
        <v>0</v>
      </c>
    </row>
    <row r="230" spans="1:10" ht="51">
      <c r="A230" s="21" t="s">
        <v>178</v>
      </c>
      <c r="B230" s="14" t="s">
        <v>179</v>
      </c>
      <c r="C230" s="14"/>
      <c r="D230" s="14"/>
      <c r="E230" s="14"/>
      <c r="F230" s="35">
        <f>3946+2255</f>
        <v>6201</v>
      </c>
      <c r="G230" s="17">
        <f t="shared" si="2"/>
        <v>-2549.81</v>
      </c>
      <c r="H230" s="59">
        <v>3651.19</v>
      </c>
      <c r="I230" s="15">
        <v>0</v>
      </c>
      <c r="J230" s="27">
        <v>0</v>
      </c>
    </row>
    <row r="231" spans="1:10" ht="25.5">
      <c r="A231" s="42" t="s">
        <v>592</v>
      </c>
      <c r="B231" s="38" t="s">
        <v>591</v>
      </c>
      <c r="C231" s="38"/>
      <c r="D231" s="38"/>
      <c r="E231" s="38"/>
      <c r="F231" s="54">
        <v>2255</v>
      </c>
      <c r="G231" s="17">
        <f t="shared" si="2"/>
        <v>-2255</v>
      </c>
      <c r="H231" s="59">
        <v>0</v>
      </c>
      <c r="I231" s="39">
        <v>0</v>
      </c>
      <c r="J231" s="41">
        <v>0</v>
      </c>
    </row>
    <row r="232" spans="1:10" ht="38.25">
      <c r="A232" s="42" t="s">
        <v>593</v>
      </c>
      <c r="B232" s="38" t="s">
        <v>591</v>
      </c>
      <c r="C232" s="38" t="s">
        <v>37</v>
      </c>
      <c r="D232" s="38" t="s">
        <v>163</v>
      </c>
      <c r="E232" s="38" t="s">
        <v>173</v>
      </c>
      <c r="F232" s="54">
        <v>2255</v>
      </c>
      <c r="G232" s="17">
        <f t="shared" si="2"/>
        <v>-2255</v>
      </c>
      <c r="H232" s="59">
        <v>0</v>
      </c>
      <c r="I232" s="39">
        <v>0</v>
      </c>
      <c r="J232" s="41">
        <v>0</v>
      </c>
    </row>
    <row r="233" spans="1:10">
      <c r="A233" s="42" t="s">
        <v>552</v>
      </c>
      <c r="B233" s="38" t="s">
        <v>590</v>
      </c>
      <c r="C233" s="38"/>
      <c r="D233" s="38"/>
      <c r="E233" s="38"/>
      <c r="F233" s="43">
        <v>100.4</v>
      </c>
      <c r="G233" s="17">
        <f t="shared" si="2"/>
        <v>-1.0000000000005116E-2</v>
      </c>
      <c r="H233" s="61">
        <v>100.39</v>
      </c>
      <c r="I233" s="39">
        <v>0</v>
      </c>
      <c r="J233" s="41">
        <v>0</v>
      </c>
    </row>
    <row r="234" spans="1:10" ht="25.5">
      <c r="A234" s="42" t="s">
        <v>553</v>
      </c>
      <c r="B234" s="38" t="s">
        <v>590</v>
      </c>
      <c r="C234" s="38" t="s">
        <v>28</v>
      </c>
      <c r="D234" s="38" t="s">
        <v>163</v>
      </c>
      <c r="E234" s="38" t="s">
        <v>173</v>
      </c>
      <c r="F234" s="43">
        <v>100.4</v>
      </c>
      <c r="G234" s="17">
        <f t="shared" si="2"/>
        <v>-1.0000000000005116E-2</v>
      </c>
      <c r="H234" s="61">
        <v>100.39</v>
      </c>
      <c r="I234" s="39">
        <v>0</v>
      </c>
      <c r="J234" s="41">
        <v>0</v>
      </c>
    </row>
    <row r="235" spans="1:10" ht="25.5">
      <c r="A235" s="9" t="s">
        <v>417</v>
      </c>
      <c r="B235" s="16" t="s">
        <v>418</v>
      </c>
      <c r="C235" s="16"/>
      <c r="D235" s="16"/>
      <c r="E235" s="16"/>
      <c r="F235" s="17">
        <v>3845.6</v>
      </c>
      <c r="G235" s="17">
        <f t="shared" si="2"/>
        <v>-294.79999999999973</v>
      </c>
      <c r="H235" s="61">
        <v>3550.8</v>
      </c>
      <c r="I235" s="17">
        <v>0</v>
      </c>
      <c r="J235" s="22">
        <v>0</v>
      </c>
    </row>
    <row r="236" spans="1:10" ht="63.75">
      <c r="A236" s="10" t="s">
        <v>471</v>
      </c>
      <c r="B236" s="18" t="s">
        <v>418</v>
      </c>
      <c r="C236" s="18" t="s">
        <v>28</v>
      </c>
      <c r="D236" s="18" t="s">
        <v>163</v>
      </c>
      <c r="E236" s="18" t="s">
        <v>164</v>
      </c>
      <c r="F236" s="17">
        <v>0</v>
      </c>
      <c r="G236" s="17">
        <f t="shared" si="2"/>
        <v>0</v>
      </c>
      <c r="H236" s="61">
        <v>0</v>
      </c>
      <c r="I236" s="17">
        <v>0</v>
      </c>
      <c r="J236" s="22">
        <v>0</v>
      </c>
    </row>
    <row r="237" spans="1:10" ht="51">
      <c r="A237" s="10" t="s">
        <v>505</v>
      </c>
      <c r="B237" s="18" t="s">
        <v>418</v>
      </c>
      <c r="C237" s="18" t="s">
        <v>37</v>
      </c>
      <c r="D237" s="18" t="s">
        <v>163</v>
      </c>
      <c r="E237" s="18" t="s">
        <v>164</v>
      </c>
      <c r="F237" s="17">
        <v>3845.6</v>
      </c>
      <c r="G237" s="17">
        <f t="shared" si="2"/>
        <v>-294.79999999999973</v>
      </c>
      <c r="H237" s="61">
        <v>3550.8</v>
      </c>
      <c r="I237" s="17">
        <v>0</v>
      </c>
      <c r="J237" s="22">
        <v>0</v>
      </c>
    </row>
    <row r="238" spans="1:10" ht="38.25">
      <c r="A238" s="21" t="s">
        <v>180</v>
      </c>
      <c r="B238" s="14" t="s">
        <v>181</v>
      </c>
      <c r="C238" s="14"/>
      <c r="D238" s="14"/>
      <c r="E238" s="14"/>
      <c r="F238" s="35">
        <v>22436.5</v>
      </c>
      <c r="G238" s="17">
        <f t="shared" si="2"/>
        <v>4.8220000000583241E-2</v>
      </c>
      <c r="H238" s="59">
        <v>22436.548220000001</v>
      </c>
      <c r="I238" s="15">
        <v>0</v>
      </c>
      <c r="J238" s="27">
        <v>0</v>
      </c>
    </row>
    <row r="239" spans="1:10" ht="38.25">
      <c r="A239" s="9" t="s">
        <v>419</v>
      </c>
      <c r="B239" s="16" t="s">
        <v>420</v>
      </c>
      <c r="C239" s="16"/>
      <c r="D239" s="16"/>
      <c r="E239" s="16"/>
      <c r="F239" s="34">
        <f>22100+336.5</f>
        <v>22436.5</v>
      </c>
      <c r="G239" s="17">
        <f t="shared" si="2"/>
        <v>4.8220000000583241E-2</v>
      </c>
      <c r="H239" s="61">
        <v>22436.548220000001</v>
      </c>
      <c r="I239" s="17">
        <v>0</v>
      </c>
      <c r="J239" s="22">
        <v>0</v>
      </c>
    </row>
    <row r="240" spans="1:10" ht="51">
      <c r="A240" s="10" t="s">
        <v>562</v>
      </c>
      <c r="B240" s="18" t="s">
        <v>420</v>
      </c>
      <c r="C240" s="47" t="s">
        <v>28</v>
      </c>
      <c r="D240" s="18" t="s">
        <v>163</v>
      </c>
      <c r="E240" s="18" t="s">
        <v>173</v>
      </c>
      <c r="F240" s="17">
        <f>22100+336.5</f>
        <v>22436.5</v>
      </c>
      <c r="G240" s="17">
        <f t="shared" si="2"/>
        <v>4.8220000000583241E-2</v>
      </c>
      <c r="H240" s="61">
        <v>22436.548220000001</v>
      </c>
      <c r="I240" s="17">
        <v>0</v>
      </c>
      <c r="J240" s="22">
        <v>0</v>
      </c>
    </row>
    <row r="241" spans="1:11" ht="60.75" thickBot="1">
      <c r="A241" s="23" t="s">
        <v>182</v>
      </c>
      <c r="B241" s="24" t="s">
        <v>183</v>
      </c>
      <c r="C241" s="24"/>
      <c r="D241" s="24"/>
      <c r="E241" s="24"/>
      <c r="F241" s="11">
        <v>6085.7004500000003</v>
      </c>
      <c r="G241" s="17">
        <f t="shared" si="2"/>
        <v>4750.0377800000006</v>
      </c>
      <c r="H241" s="55">
        <f>10735.73823+100</f>
        <v>10835.738230000001</v>
      </c>
      <c r="I241" s="11">
        <v>12855.61045</v>
      </c>
      <c r="J241" s="25">
        <v>9242.7604499999998</v>
      </c>
    </row>
    <row r="242" spans="1:11" ht="63.75">
      <c r="A242" s="21" t="s">
        <v>184</v>
      </c>
      <c r="B242" s="14" t="s">
        <v>185</v>
      </c>
      <c r="C242" s="14"/>
      <c r="D242" s="14"/>
      <c r="E242" s="14"/>
      <c r="F242" s="15">
        <v>6085.7004500000003</v>
      </c>
      <c r="G242" s="17">
        <f t="shared" si="2"/>
        <v>4750.0377800000006</v>
      </c>
      <c r="H242" s="59">
        <f>10735.73823+100</f>
        <v>10835.738230000001</v>
      </c>
      <c r="I242" s="15">
        <v>12855.61045</v>
      </c>
      <c r="J242" s="27">
        <v>9242.7604499999998</v>
      </c>
    </row>
    <row r="243" spans="1:11" ht="25.5">
      <c r="A243" s="9" t="s">
        <v>186</v>
      </c>
      <c r="B243" s="16" t="s">
        <v>187</v>
      </c>
      <c r="C243" s="16"/>
      <c r="D243" s="16"/>
      <c r="E243" s="16"/>
      <c r="F243" s="17">
        <v>4342.9399999999996</v>
      </c>
      <c r="G243" s="17">
        <f t="shared" si="2"/>
        <v>-4342.9399999999996</v>
      </c>
      <c r="H243" s="61">
        <v>0</v>
      </c>
      <c r="I243" s="17">
        <v>11112.85</v>
      </c>
      <c r="J243" s="22">
        <v>7500</v>
      </c>
    </row>
    <row r="244" spans="1:11" ht="25.5">
      <c r="A244" s="10" t="s">
        <v>506</v>
      </c>
      <c r="B244" s="18" t="s">
        <v>187</v>
      </c>
      <c r="C244" s="18" t="s">
        <v>37</v>
      </c>
      <c r="D244" s="18" t="s">
        <v>163</v>
      </c>
      <c r="E244" s="18" t="s">
        <v>173</v>
      </c>
      <c r="F244" s="17">
        <v>4342.9399999999996</v>
      </c>
      <c r="G244" s="17">
        <f t="shared" si="2"/>
        <v>-4342.9399999999996</v>
      </c>
      <c r="H244" s="61">
        <v>0</v>
      </c>
      <c r="I244" s="17">
        <v>11112.85</v>
      </c>
      <c r="J244" s="22">
        <v>7500</v>
      </c>
    </row>
    <row r="245" spans="1:11">
      <c r="A245" s="9" t="s">
        <v>188</v>
      </c>
      <c r="B245" s="16" t="s">
        <v>189</v>
      </c>
      <c r="C245" s="16"/>
      <c r="D245" s="16"/>
      <c r="E245" s="16"/>
      <c r="F245" s="17">
        <v>1742.76045</v>
      </c>
      <c r="G245" s="17">
        <f t="shared" si="2"/>
        <v>0</v>
      </c>
      <c r="H245" s="61">
        <v>1742.76045</v>
      </c>
      <c r="I245" s="17">
        <v>1742.76045</v>
      </c>
      <c r="J245" s="22">
        <v>1742.76045</v>
      </c>
    </row>
    <row r="246" spans="1:11" ht="25.5">
      <c r="A246" s="10" t="s">
        <v>360</v>
      </c>
      <c r="B246" s="18" t="s">
        <v>189</v>
      </c>
      <c r="C246" s="18" t="s">
        <v>37</v>
      </c>
      <c r="D246" s="18" t="s">
        <v>163</v>
      </c>
      <c r="E246" s="18" t="s">
        <v>190</v>
      </c>
      <c r="F246" s="17">
        <v>1742.76045</v>
      </c>
      <c r="G246" s="17">
        <f t="shared" si="2"/>
        <v>0</v>
      </c>
      <c r="H246" s="61">
        <v>1742.76045</v>
      </c>
      <c r="I246" s="17">
        <v>1742.76045</v>
      </c>
      <c r="J246" s="22">
        <v>1742.76045</v>
      </c>
    </row>
    <row r="247" spans="1:11" ht="25.5">
      <c r="A247" s="9" t="s">
        <v>186</v>
      </c>
      <c r="B247" s="60" t="s">
        <v>616</v>
      </c>
      <c r="C247" s="60"/>
      <c r="D247" s="60"/>
      <c r="E247" s="60"/>
      <c r="F247" s="17">
        <v>0</v>
      </c>
      <c r="G247" s="17">
        <f t="shared" si="2"/>
        <v>8992.9777799999993</v>
      </c>
      <c r="H247" s="61">
        <v>8992.9777799999993</v>
      </c>
      <c r="I247" s="17">
        <v>0</v>
      </c>
      <c r="J247" s="22">
        <v>0</v>
      </c>
    </row>
    <row r="248" spans="1:11" ht="25.5">
      <c r="A248" s="10" t="s">
        <v>186</v>
      </c>
      <c r="B248" s="62" t="s">
        <v>616</v>
      </c>
      <c r="C248" s="62" t="s">
        <v>37</v>
      </c>
      <c r="D248" s="62" t="s">
        <v>163</v>
      </c>
      <c r="E248" s="62" t="s">
        <v>173</v>
      </c>
      <c r="F248" s="17">
        <v>0</v>
      </c>
      <c r="G248" s="17">
        <f t="shared" ref="G248:G250" si="3">SUM(H248-F248)</f>
        <v>8992.9777799999993</v>
      </c>
      <c r="H248" s="61">
        <v>8992.9777799999993</v>
      </c>
      <c r="I248" s="17">
        <v>0</v>
      </c>
      <c r="J248" s="22">
        <v>0</v>
      </c>
    </row>
    <row r="249" spans="1:11" ht="51">
      <c r="A249" s="42" t="s">
        <v>625</v>
      </c>
      <c r="B249" s="62" t="s">
        <v>624</v>
      </c>
      <c r="C249" s="62"/>
      <c r="D249" s="62"/>
      <c r="E249" s="62"/>
      <c r="F249" s="17">
        <v>0</v>
      </c>
      <c r="G249" s="17">
        <f t="shared" si="3"/>
        <v>100</v>
      </c>
      <c r="H249" s="61">
        <v>100</v>
      </c>
      <c r="I249" s="17">
        <v>0</v>
      </c>
      <c r="J249" s="22">
        <v>0</v>
      </c>
    </row>
    <row r="250" spans="1:11" ht="63.75">
      <c r="A250" s="42" t="s">
        <v>626</v>
      </c>
      <c r="B250" s="62" t="s">
        <v>624</v>
      </c>
      <c r="C250" s="62" t="s">
        <v>37</v>
      </c>
      <c r="D250" s="62" t="s">
        <v>163</v>
      </c>
      <c r="E250" s="62" t="s">
        <v>173</v>
      </c>
      <c r="F250" s="17">
        <v>0</v>
      </c>
      <c r="G250" s="17">
        <f t="shared" si="3"/>
        <v>100</v>
      </c>
      <c r="H250" s="61">
        <v>100</v>
      </c>
      <c r="I250" s="17">
        <v>0</v>
      </c>
      <c r="J250" s="22">
        <v>0</v>
      </c>
      <c r="K250" s="65">
        <v>100</v>
      </c>
    </row>
    <row r="251" spans="1:11" ht="45.75" thickBot="1">
      <c r="A251" s="23" t="s">
        <v>191</v>
      </c>
      <c r="B251" s="24" t="s">
        <v>192</v>
      </c>
      <c r="C251" s="24"/>
      <c r="D251" s="24"/>
      <c r="E251" s="24"/>
      <c r="F251" s="11">
        <f>90827.30907+914.9</f>
        <v>91742.209069999997</v>
      </c>
      <c r="G251" s="17">
        <f t="shared" ref="G251:G326" si="4">SUM(H251-F251)</f>
        <v>6344.0939300000027</v>
      </c>
      <c r="H251" s="55">
        <f>89225.003+8861.3</f>
        <v>98086.303</v>
      </c>
      <c r="I251" s="11">
        <v>34009.35</v>
      </c>
      <c r="J251" s="25">
        <v>35320.699999999997</v>
      </c>
    </row>
    <row r="252" spans="1:11" ht="38.25">
      <c r="A252" s="20" t="s">
        <v>193</v>
      </c>
      <c r="B252" s="12" t="s">
        <v>194</v>
      </c>
      <c r="C252" s="12"/>
      <c r="D252" s="12"/>
      <c r="E252" s="12"/>
      <c r="F252" s="13">
        <f>58519.15907+862.6</f>
        <v>59381.75907</v>
      </c>
      <c r="G252" s="17">
        <f t="shared" si="4"/>
        <v>4265.4435099999973</v>
      </c>
      <c r="H252" s="56">
        <f>56654.20258+6993</f>
        <v>63647.202579999997</v>
      </c>
      <c r="I252" s="13">
        <v>14295</v>
      </c>
      <c r="J252" s="26">
        <v>15155</v>
      </c>
    </row>
    <row r="253" spans="1:11" ht="38.25">
      <c r="A253" s="21" t="s">
        <v>195</v>
      </c>
      <c r="B253" s="14" t="s">
        <v>196</v>
      </c>
      <c r="C253" s="14"/>
      <c r="D253" s="14"/>
      <c r="E253" s="14"/>
      <c r="F253" s="15">
        <v>3752.7590700000001</v>
      </c>
      <c r="G253" s="17">
        <f t="shared" si="4"/>
        <v>-1919.5564900000002</v>
      </c>
      <c r="H253" s="59">
        <f>1025.20258+380+428</f>
        <v>1833.2025799999999</v>
      </c>
      <c r="I253" s="15">
        <v>1000</v>
      </c>
      <c r="J253" s="27">
        <v>1000</v>
      </c>
    </row>
    <row r="254" spans="1:11" ht="89.25">
      <c r="A254" s="9" t="s">
        <v>197</v>
      </c>
      <c r="B254" s="16" t="s">
        <v>198</v>
      </c>
      <c r="C254" s="16"/>
      <c r="D254" s="16"/>
      <c r="E254" s="16"/>
      <c r="F254" s="17">
        <v>3752.7590700000001</v>
      </c>
      <c r="G254" s="17">
        <f t="shared" si="4"/>
        <v>-1919.5564900000002</v>
      </c>
      <c r="H254" s="61">
        <f>1025.20258+380+428</f>
        <v>1833.2025799999999</v>
      </c>
      <c r="I254" s="17">
        <v>1000</v>
      </c>
      <c r="J254" s="22">
        <v>1000</v>
      </c>
    </row>
    <row r="255" spans="1:11" ht="102">
      <c r="A255" s="10" t="s">
        <v>546</v>
      </c>
      <c r="B255" s="18" t="s">
        <v>198</v>
      </c>
      <c r="C255" s="18" t="s">
        <v>49</v>
      </c>
      <c r="D255" s="18" t="s">
        <v>26</v>
      </c>
      <c r="E255" s="18" t="s">
        <v>27</v>
      </c>
      <c r="F255" s="17">
        <v>3752.7590700000001</v>
      </c>
      <c r="G255" s="17">
        <f t="shared" si="4"/>
        <v>-1919.5564900000002</v>
      </c>
      <c r="H255" s="64">
        <f>1025.20258+380+428</f>
        <v>1833.2025799999999</v>
      </c>
      <c r="I255" s="17">
        <v>1000</v>
      </c>
      <c r="J255" s="22">
        <v>1000</v>
      </c>
    </row>
    <row r="256" spans="1:11" ht="51">
      <c r="A256" s="21" t="s">
        <v>199</v>
      </c>
      <c r="B256" s="14" t="s">
        <v>200</v>
      </c>
      <c r="C256" s="14"/>
      <c r="D256" s="14"/>
      <c r="E256" s="14"/>
      <c r="F256" s="15">
        <f>54766.4+862.6</f>
        <v>55629</v>
      </c>
      <c r="G256" s="17">
        <f t="shared" si="4"/>
        <v>6993</v>
      </c>
      <c r="H256" s="59">
        <f>55629+6993</f>
        <v>62622</v>
      </c>
      <c r="I256" s="15">
        <v>13295</v>
      </c>
      <c r="J256" s="27">
        <v>14155</v>
      </c>
    </row>
    <row r="257" spans="1:11" ht="114.75">
      <c r="A257" s="9" t="s">
        <v>201</v>
      </c>
      <c r="B257" s="16" t="s">
        <v>202</v>
      </c>
      <c r="C257" s="16"/>
      <c r="D257" s="16"/>
      <c r="E257" s="16"/>
      <c r="F257" s="17">
        <v>7108</v>
      </c>
      <c r="G257" s="17">
        <f t="shared" si="4"/>
        <v>0</v>
      </c>
      <c r="H257" s="61">
        <v>7108</v>
      </c>
      <c r="I257" s="17">
        <v>6180</v>
      </c>
      <c r="J257" s="22">
        <v>6410</v>
      </c>
    </row>
    <row r="258" spans="1:11" ht="114.75">
      <c r="A258" s="10" t="s">
        <v>507</v>
      </c>
      <c r="B258" s="18" t="s">
        <v>202</v>
      </c>
      <c r="C258" s="18" t="s">
        <v>37</v>
      </c>
      <c r="D258" s="18" t="s">
        <v>38</v>
      </c>
      <c r="E258" s="18" t="s">
        <v>203</v>
      </c>
      <c r="F258" s="17">
        <v>7108</v>
      </c>
      <c r="G258" s="17">
        <f t="shared" si="4"/>
        <v>0</v>
      </c>
      <c r="H258" s="61">
        <v>7108</v>
      </c>
      <c r="I258" s="17">
        <v>6180</v>
      </c>
      <c r="J258" s="22">
        <v>6410</v>
      </c>
    </row>
    <row r="259" spans="1:11" ht="89.25">
      <c r="A259" s="9" t="s">
        <v>204</v>
      </c>
      <c r="B259" s="16" t="s">
        <v>205</v>
      </c>
      <c r="C259" s="16"/>
      <c r="D259" s="16"/>
      <c r="E259" s="16"/>
      <c r="F259" s="17">
        <v>6670</v>
      </c>
      <c r="G259" s="17">
        <f t="shared" si="4"/>
        <v>0</v>
      </c>
      <c r="H259" s="61">
        <v>6670</v>
      </c>
      <c r="I259" s="17">
        <v>7115</v>
      </c>
      <c r="J259" s="22">
        <v>7745</v>
      </c>
    </row>
    <row r="260" spans="1:11" ht="89.25">
      <c r="A260" s="10" t="s">
        <v>508</v>
      </c>
      <c r="B260" s="18" t="s">
        <v>205</v>
      </c>
      <c r="C260" s="18" t="s">
        <v>37</v>
      </c>
      <c r="D260" s="18" t="s">
        <v>38</v>
      </c>
      <c r="E260" s="18" t="s">
        <v>203</v>
      </c>
      <c r="F260" s="17">
        <v>6670</v>
      </c>
      <c r="G260" s="17">
        <f t="shared" si="4"/>
        <v>0</v>
      </c>
      <c r="H260" s="61">
        <v>6670</v>
      </c>
      <c r="I260" s="17">
        <v>7115</v>
      </c>
      <c r="J260" s="22">
        <v>7745</v>
      </c>
    </row>
    <row r="261" spans="1:11" ht="89.25">
      <c r="A261" s="9" t="s">
        <v>206</v>
      </c>
      <c r="B261" s="16" t="s">
        <v>207</v>
      </c>
      <c r="C261" s="16"/>
      <c r="D261" s="16"/>
      <c r="E261" s="16"/>
      <c r="F261" s="17">
        <f>36243+1271+950</f>
        <v>38464</v>
      </c>
      <c r="G261" s="17">
        <f t="shared" si="4"/>
        <v>7089.9000000000015</v>
      </c>
      <c r="H261" s="61">
        <f>38464+7089.9</f>
        <v>45553.9</v>
      </c>
      <c r="I261" s="17">
        <v>0</v>
      </c>
      <c r="J261" s="22">
        <v>0</v>
      </c>
    </row>
    <row r="262" spans="1:11" ht="102">
      <c r="A262" s="10" t="s">
        <v>509</v>
      </c>
      <c r="B262" s="18" t="s">
        <v>207</v>
      </c>
      <c r="C262" s="18" t="s">
        <v>37</v>
      </c>
      <c r="D262" s="18" t="s">
        <v>38</v>
      </c>
      <c r="E262" s="18" t="s">
        <v>39</v>
      </c>
      <c r="F262" s="17">
        <f>36243+1271+950</f>
        <v>38464</v>
      </c>
      <c r="G262" s="17">
        <f t="shared" si="4"/>
        <v>7089.9000000000015</v>
      </c>
      <c r="H262" s="61">
        <f>38464+7089.9</f>
        <v>45553.9</v>
      </c>
      <c r="I262" s="17">
        <v>0</v>
      </c>
      <c r="J262" s="22">
        <v>0</v>
      </c>
      <c r="K262" s="65">
        <v>7089.9</v>
      </c>
    </row>
    <row r="263" spans="1:11" ht="114.75">
      <c r="A263" s="9" t="s">
        <v>208</v>
      </c>
      <c r="B263" s="16" t="s">
        <v>209</v>
      </c>
      <c r="C263" s="16"/>
      <c r="D263" s="16"/>
      <c r="E263" s="16"/>
      <c r="F263" s="17">
        <f>4745.4-1358.4</f>
        <v>3386.9999999999995</v>
      </c>
      <c r="G263" s="17">
        <f t="shared" si="4"/>
        <v>-96.899999999999636</v>
      </c>
      <c r="H263" s="61">
        <f>3387-96.9</f>
        <v>3290.1</v>
      </c>
      <c r="I263" s="17">
        <v>0</v>
      </c>
      <c r="J263" s="22">
        <v>0</v>
      </c>
    </row>
    <row r="264" spans="1:11" ht="127.5">
      <c r="A264" s="10" t="s">
        <v>510</v>
      </c>
      <c r="B264" s="18" t="s">
        <v>209</v>
      </c>
      <c r="C264" s="18" t="s">
        <v>37</v>
      </c>
      <c r="D264" s="18" t="s">
        <v>38</v>
      </c>
      <c r="E264" s="18" t="s">
        <v>39</v>
      </c>
      <c r="F264" s="17">
        <f>4745.4-1358.4</f>
        <v>3386.9999999999995</v>
      </c>
      <c r="G264" s="17">
        <f t="shared" si="4"/>
        <v>-96.899999999999636</v>
      </c>
      <c r="H264" s="61">
        <f>3387-96.9</f>
        <v>3290.1</v>
      </c>
      <c r="I264" s="17">
        <v>0</v>
      </c>
      <c r="J264" s="22">
        <v>0</v>
      </c>
      <c r="K264" s="65">
        <v>-96.9</v>
      </c>
    </row>
    <row r="265" spans="1:11" ht="89.25">
      <c r="A265" s="20" t="s">
        <v>210</v>
      </c>
      <c r="B265" s="12" t="s">
        <v>211</v>
      </c>
      <c r="C265" s="12"/>
      <c r="D265" s="12"/>
      <c r="E265" s="12"/>
      <c r="F265" s="13">
        <v>8301</v>
      </c>
      <c r="G265" s="17">
        <f t="shared" si="4"/>
        <v>0</v>
      </c>
      <c r="H265" s="56">
        <v>8301</v>
      </c>
      <c r="I265" s="13">
        <v>6157.6</v>
      </c>
      <c r="J265" s="26">
        <v>6020</v>
      </c>
    </row>
    <row r="266" spans="1:11" ht="102">
      <c r="A266" s="21" t="s">
        <v>212</v>
      </c>
      <c r="B266" s="14" t="s">
        <v>213</v>
      </c>
      <c r="C266" s="14"/>
      <c r="D266" s="14"/>
      <c r="E266" s="14"/>
      <c r="F266" s="15">
        <v>8301</v>
      </c>
      <c r="G266" s="17">
        <f t="shared" si="4"/>
        <v>0</v>
      </c>
      <c r="H266" s="59">
        <v>8301</v>
      </c>
      <c r="I266" s="15">
        <v>6157.6</v>
      </c>
      <c r="J266" s="27">
        <v>6020</v>
      </c>
    </row>
    <row r="267" spans="1:11" ht="140.25">
      <c r="A267" s="9" t="s">
        <v>214</v>
      </c>
      <c r="B267" s="16" t="s">
        <v>215</v>
      </c>
      <c r="C267" s="16"/>
      <c r="D267" s="16"/>
      <c r="E267" s="16"/>
      <c r="F267" s="17">
        <v>7776</v>
      </c>
      <c r="G267" s="17">
        <f t="shared" si="4"/>
        <v>0</v>
      </c>
      <c r="H267" s="61">
        <v>7776</v>
      </c>
      <c r="I267" s="17">
        <v>6157.6</v>
      </c>
      <c r="J267" s="22">
        <v>6020</v>
      </c>
    </row>
    <row r="268" spans="1:11" ht="153">
      <c r="A268" s="10" t="s">
        <v>495</v>
      </c>
      <c r="B268" s="18" t="s">
        <v>215</v>
      </c>
      <c r="C268" s="18" t="s">
        <v>48</v>
      </c>
      <c r="D268" s="18" t="s">
        <v>66</v>
      </c>
      <c r="E268" s="18" t="s">
        <v>216</v>
      </c>
      <c r="F268" s="17">
        <v>7776</v>
      </c>
      <c r="G268" s="17">
        <f t="shared" si="4"/>
        <v>0</v>
      </c>
      <c r="H268" s="61">
        <v>7776</v>
      </c>
      <c r="I268" s="17">
        <v>6157.6</v>
      </c>
      <c r="J268" s="22">
        <v>6020</v>
      </c>
    </row>
    <row r="269" spans="1:11" ht="153">
      <c r="A269" s="9" t="s">
        <v>217</v>
      </c>
      <c r="B269" s="16" t="s">
        <v>218</v>
      </c>
      <c r="C269" s="16"/>
      <c r="D269" s="16"/>
      <c r="E269" s="16"/>
      <c r="F269" s="17">
        <v>525</v>
      </c>
      <c r="G269" s="17">
        <f t="shared" si="4"/>
        <v>0</v>
      </c>
      <c r="H269" s="61">
        <v>525</v>
      </c>
      <c r="I269" s="17">
        <v>0</v>
      </c>
      <c r="J269" s="22">
        <v>0</v>
      </c>
    </row>
    <row r="270" spans="1:11" ht="165.75">
      <c r="A270" s="10" t="s">
        <v>496</v>
      </c>
      <c r="B270" s="18" t="s">
        <v>218</v>
      </c>
      <c r="C270" s="18" t="s">
        <v>48</v>
      </c>
      <c r="D270" s="18" t="s">
        <v>66</v>
      </c>
      <c r="E270" s="18" t="s">
        <v>219</v>
      </c>
      <c r="F270" s="17">
        <v>525</v>
      </c>
      <c r="G270" s="17">
        <f t="shared" si="4"/>
        <v>0</v>
      </c>
      <c r="H270" s="61">
        <v>525</v>
      </c>
      <c r="I270" s="17">
        <v>0</v>
      </c>
      <c r="J270" s="22">
        <v>0</v>
      </c>
    </row>
    <row r="271" spans="1:11" ht="25.5">
      <c r="A271" s="20" t="s">
        <v>220</v>
      </c>
      <c r="B271" s="12" t="s">
        <v>221</v>
      </c>
      <c r="C271" s="12"/>
      <c r="D271" s="12"/>
      <c r="E271" s="12"/>
      <c r="F271" s="13">
        <f>24007.15+52.3</f>
        <v>24059.45</v>
      </c>
      <c r="G271" s="17">
        <f t="shared" si="4"/>
        <v>2078.8504199999988</v>
      </c>
      <c r="H271" s="56">
        <f>24269.80042+1868.5</f>
        <v>26138.30042</v>
      </c>
      <c r="I271" s="13">
        <v>13556.75</v>
      </c>
      <c r="J271" s="26">
        <v>14145.7</v>
      </c>
    </row>
    <row r="272" spans="1:11" ht="51">
      <c r="A272" s="21" t="s">
        <v>222</v>
      </c>
      <c r="B272" s="14" t="s">
        <v>223</v>
      </c>
      <c r="C272" s="14"/>
      <c r="D272" s="14"/>
      <c r="E272" s="14"/>
      <c r="F272" s="15">
        <v>12874.95</v>
      </c>
      <c r="G272" s="17">
        <f t="shared" si="4"/>
        <v>710.15041999999812</v>
      </c>
      <c r="H272" s="59">
        <f>13006.80042+578.3</f>
        <v>13585.100419999999</v>
      </c>
      <c r="I272" s="15">
        <v>13556.75</v>
      </c>
      <c r="J272" s="27">
        <v>14145.7</v>
      </c>
    </row>
    <row r="273" spans="1:11" ht="89.25">
      <c r="A273" s="9" t="s">
        <v>602</v>
      </c>
      <c r="B273" s="60" t="s">
        <v>617</v>
      </c>
      <c r="C273" s="60"/>
      <c r="D273" s="60"/>
      <c r="E273" s="60"/>
      <c r="F273" s="15">
        <v>0</v>
      </c>
      <c r="G273" s="17">
        <f t="shared" si="4"/>
        <v>131.85042000000001</v>
      </c>
      <c r="H273" s="61">
        <v>131.85042000000001</v>
      </c>
      <c r="I273" s="15">
        <v>0</v>
      </c>
      <c r="J273" s="27">
        <v>0</v>
      </c>
    </row>
    <row r="274" spans="1:11" ht="89.25">
      <c r="A274" s="10" t="s">
        <v>602</v>
      </c>
      <c r="B274" s="62" t="s">
        <v>617</v>
      </c>
      <c r="C274" s="62" t="s">
        <v>25</v>
      </c>
      <c r="D274" s="62" t="s">
        <v>26</v>
      </c>
      <c r="E274" s="62" t="s">
        <v>226</v>
      </c>
      <c r="F274" s="15">
        <v>0</v>
      </c>
      <c r="G274" s="17">
        <f t="shared" si="4"/>
        <v>131.85042000000001</v>
      </c>
      <c r="H274" s="61">
        <v>131.85042000000001</v>
      </c>
      <c r="I274" s="15">
        <v>0</v>
      </c>
      <c r="J274" s="27">
        <v>0</v>
      </c>
    </row>
    <row r="275" spans="1:11" ht="44.25" customHeight="1">
      <c r="A275" s="9" t="s">
        <v>224</v>
      </c>
      <c r="B275" s="16" t="s">
        <v>225</v>
      </c>
      <c r="C275" s="16"/>
      <c r="D275" s="16"/>
      <c r="E275" s="16"/>
      <c r="F275" s="17">
        <v>12281.65</v>
      </c>
      <c r="G275" s="17">
        <f t="shared" si="4"/>
        <v>545.70000000000073</v>
      </c>
      <c r="H275" s="61">
        <f>12281.65+545.7</f>
        <v>12827.35</v>
      </c>
      <c r="I275" s="17">
        <v>13556.75</v>
      </c>
      <c r="J275" s="22">
        <v>14145.7</v>
      </c>
    </row>
    <row r="276" spans="1:11" ht="44.25" customHeight="1">
      <c r="A276" s="10" t="s">
        <v>440</v>
      </c>
      <c r="B276" s="18" t="s">
        <v>225</v>
      </c>
      <c r="C276" s="18" t="s">
        <v>25</v>
      </c>
      <c r="D276" s="18" t="s">
        <v>26</v>
      </c>
      <c r="E276" s="18" t="s">
        <v>226</v>
      </c>
      <c r="F276" s="17">
        <v>10401.5</v>
      </c>
      <c r="G276" s="17">
        <f t="shared" si="4"/>
        <v>545.70000000000073</v>
      </c>
      <c r="H276" s="61">
        <f>10401.5+545.7</f>
        <v>10947.2</v>
      </c>
      <c r="I276" s="17">
        <v>11374</v>
      </c>
      <c r="J276" s="22">
        <v>11829</v>
      </c>
      <c r="K276" s="65">
        <v>545.70000000000005</v>
      </c>
    </row>
    <row r="277" spans="1:11" ht="44.25" customHeight="1">
      <c r="A277" s="10" t="s">
        <v>472</v>
      </c>
      <c r="B277" s="18" t="s">
        <v>225</v>
      </c>
      <c r="C277" s="18" t="s">
        <v>28</v>
      </c>
      <c r="D277" s="18" t="s">
        <v>26</v>
      </c>
      <c r="E277" s="18" t="s">
        <v>226</v>
      </c>
      <c r="F277" s="17">
        <v>1880.15</v>
      </c>
      <c r="G277" s="17">
        <f t="shared" si="4"/>
        <v>0</v>
      </c>
      <c r="H277" s="61">
        <v>1880.15</v>
      </c>
      <c r="I277" s="17">
        <v>2182.75</v>
      </c>
      <c r="J277" s="22">
        <v>2316.6999999999998</v>
      </c>
    </row>
    <row r="278" spans="1:11" ht="89.25">
      <c r="A278" s="9" t="s">
        <v>227</v>
      </c>
      <c r="B278" s="16" t="s">
        <v>228</v>
      </c>
      <c r="C278" s="16"/>
      <c r="D278" s="16"/>
      <c r="E278" s="16"/>
      <c r="F278" s="17">
        <v>593.29999999999995</v>
      </c>
      <c r="G278" s="17">
        <f t="shared" si="4"/>
        <v>32.600000000000023</v>
      </c>
      <c r="H278" s="61">
        <f>593.3+32.6</f>
        <v>625.9</v>
      </c>
      <c r="I278" s="17">
        <v>0</v>
      </c>
      <c r="J278" s="22">
        <v>0</v>
      </c>
    </row>
    <row r="279" spans="1:11" ht="153">
      <c r="A279" s="10" t="s">
        <v>441</v>
      </c>
      <c r="B279" s="18" t="s">
        <v>228</v>
      </c>
      <c r="C279" s="18" t="s">
        <v>25</v>
      </c>
      <c r="D279" s="18" t="s">
        <v>26</v>
      </c>
      <c r="E279" s="18" t="s">
        <v>226</v>
      </c>
      <c r="F279" s="17">
        <v>593.29999999999995</v>
      </c>
      <c r="G279" s="17">
        <f t="shared" si="4"/>
        <v>32.600000000000023</v>
      </c>
      <c r="H279" s="61">
        <f>593.3+32.6</f>
        <v>625.9</v>
      </c>
      <c r="I279" s="17">
        <v>0</v>
      </c>
      <c r="J279" s="22">
        <v>0</v>
      </c>
      <c r="K279" s="65">
        <v>32.6</v>
      </c>
    </row>
    <row r="280" spans="1:11" ht="38.25">
      <c r="A280" s="21" t="s">
        <v>229</v>
      </c>
      <c r="B280" s="14" t="s">
        <v>230</v>
      </c>
      <c r="C280" s="14"/>
      <c r="D280" s="14"/>
      <c r="E280" s="14"/>
      <c r="F280" s="15">
        <f>11132.2+52.3</f>
        <v>11184.5</v>
      </c>
      <c r="G280" s="17">
        <f t="shared" si="4"/>
        <v>1368.5</v>
      </c>
      <c r="H280" s="59">
        <f>11263+1290</f>
        <v>12553</v>
      </c>
      <c r="I280" s="15">
        <v>0</v>
      </c>
      <c r="J280" s="27">
        <v>0</v>
      </c>
    </row>
    <row r="281" spans="1:11" ht="63.75">
      <c r="A281" s="45" t="s">
        <v>555</v>
      </c>
      <c r="B281" s="38" t="s">
        <v>554</v>
      </c>
      <c r="C281" s="38" t="s">
        <v>49</v>
      </c>
      <c r="D281" s="38" t="s">
        <v>26</v>
      </c>
      <c r="E281" s="38" t="s">
        <v>27</v>
      </c>
      <c r="F281" s="43">
        <v>52.3</v>
      </c>
      <c r="G281" s="17">
        <f t="shared" si="4"/>
        <v>78.500000000000014</v>
      </c>
      <c r="H281" s="61">
        <v>130.80000000000001</v>
      </c>
      <c r="I281" s="43">
        <v>0</v>
      </c>
      <c r="J281" s="44">
        <v>0</v>
      </c>
    </row>
    <row r="282" spans="1:11" ht="76.5">
      <c r="A282" s="42" t="s">
        <v>556</v>
      </c>
      <c r="B282" s="38" t="s">
        <v>554</v>
      </c>
      <c r="C282" s="38" t="s">
        <v>49</v>
      </c>
      <c r="D282" s="38" t="s">
        <v>26</v>
      </c>
      <c r="E282" s="38" t="s">
        <v>27</v>
      </c>
      <c r="F282" s="43">
        <v>52.3</v>
      </c>
      <c r="G282" s="17">
        <f t="shared" si="4"/>
        <v>78.500000000000014</v>
      </c>
      <c r="H282" s="61">
        <v>130.80000000000001</v>
      </c>
      <c r="I282" s="43">
        <v>0</v>
      </c>
      <c r="J282" s="44">
        <v>0</v>
      </c>
    </row>
    <row r="283" spans="1:11" ht="89.25">
      <c r="A283" s="9" t="s">
        <v>421</v>
      </c>
      <c r="B283" s="16" t="s">
        <v>422</v>
      </c>
      <c r="C283" s="16"/>
      <c r="D283" s="16"/>
      <c r="E283" s="16"/>
      <c r="F283" s="17">
        <v>521</v>
      </c>
      <c r="G283" s="17">
        <f t="shared" si="4"/>
        <v>39.968520000000012</v>
      </c>
      <c r="H283" s="61">
        <f>532.96852+28</f>
        <v>560.96852000000001</v>
      </c>
      <c r="I283" s="17">
        <v>0</v>
      </c>
      <c r="J283" s="22">
        <v>0</v>
      </c>
    </row>
    <row r="284" spans="1:11" ht="165.75">
      <c r="A284" s="10" t="s">
        <v>442</v>
      </c>
      <c r="B284" s="18" t="s">
        <v>422</v>
      </c>
      <c r="C284" s="18" t="s">
        <v>25</v>
      </c>
      <c r="D284" s="18" t="s">
        <v>26</v>
      </c>
      <c r="E284" s="18" t="s">
        <v>27</v>
      </c>
      <c r="F284" s="17">
        <v>501</v>
      </c>
      <c r="G284" s="17">
        <f t="shared" si="4"/>
        <v>39.968520000000012</v>
      </c>
      <c r="H284" s="61">
        <f>512.96852+28</f>
        <v>540.96852000000001</v>
      </c>
      <c r="I284" s="17">
        <v>0</v>
      </c>
      <c r="J284" s="22">
        <v>0</v>
      </c>
      <c r="K284" s="65">
        <v>28</v>
      </c>
    </row>
    <row r="285" spans="1:11" ht="114.75">
      <c r="A285" s="10" t="s">
        <v>473</v>
      </c>
      <c r="B285" s="18" t="s">
        <v>422</v>
      </c>
      <c r="C285" s="18" t="s">
        <v>28</v>
      </c>
      <c r="D285" s="18" t="s">
        <v>26</v>
      </c>
      <c r="E285" s="18" t="s">
        <v>27</v>
      </c>
      <c r="F285" s="17">
        <v>20</v>
      </c>
      <c r="G285" s="17">
        <f t="shared" si="4"/>
        <v>0</v>
      </c>
      <c r="H285" s="61">
        <v>20</v>
      </c>
      <c r="I285" s="17">
        <v>0</v>
      </c>
      <c r="J285" s="22">
        <v>0</v>
      </c>
    </row>
    <row r="286" spans="1:11" ht="63.75">
      <c r="A286" s="9" t="s">
        <v>231</v>
      </c>
      <c r="B286" s="16" t="s">
        <v>232</v>
      </c>
      <c r="C286" s="16"/>
      <c r="D286" s="16"/>
      <c r="E286" s="16"/>
      <c r="F286" s="17">
        <v>10611.2</v>
      </c>
      <c r="G286" s="17">
        <f t="shared" si="4"/>
        <v>1250.0314799999996</v>
      </c>
      <c r="H286" s="61">
        <f>10599.23148+1262</f>
        <v>11861.23148</v>
      </c>
      <c r="I286" s="17">
        <v>0</v>
      </c>
      <c r="J286" s="22">
        <v>0</v>
      </c>
    </row>
    <row r="287" spans="1:11" ht="153">
      <c r="A287" s="10" t="s">
        <v>443</v>
      </c>
      <c r="B287" s="18" t="s">
        <v>232</v>
      </c>
      <c r="C287" s="18" t="s">
        <v>25</v>
      </c>
      <c r="D287" s="18" t="s">
        <v>26</v>
      </c>
      <c r="E287" s="18" t="s">
        <v>27</v>
      </c>
      <c r="F287" s="17">
        <v>10286.200000000001</v>
      </c>
      <c r="G287" s="17">
        <f t="shared" si="4"/>
        <v>700.03147999999965</v>
      </c>
      <c r="H287" s="61">
        <f>10274.23148+712</f>
        <v>10986.23148</v>
      </c>
      <c r="I287" s="17">
        <v>0</v>
      </c>
      <c r="J287" s="22">
        <v>0</v>
      </c>
      <c r="K287" s="65">
        <v>712</v>
      </c>
    </row>
    <row r="288" spans="1:11" ht="102">
      <c r="A288" s="10" t="s">
        <v>474</v>
      </c>
      <c r="B288" s="18" t="s">
        <v>232</v>
      </c>
      <c r="C288" s="18" t="s">
        <v>28</v>
      </c>
      <c r="D288" s="18" t="s">
        <v>26</v>
      </c>
      <c r="E288" s="18" t="s">
        <v>27</v>
      </c>
      <c r="F288" s="17">
        <v>325</v>
      </c>
      <c r="G288" s="17">
        <f t="shared" si="4"/>
        <v>550</v>
      </c>
      <c r="H288" s="61">
        <f>325+550</f>
        <v>875</v>
      </c>
      <c r="I288" s="17">
        <v>0</v>
      </c>
      <c r="J288" s="22">
        <v>0</v>
      </c>
      <c r="K288" s="65">
        <v>550</v>
      </c>
    </row>
    <row r="289" spans="1:10" ht="105.75" thickBot="1">
      <c r="A289" s="23" t="s">
        <v>233</v>
      </c>
      <c r="B289" s="24" t="s">
        <v>234</v>
      </c>
      <c r="C289" s="24"/>
      <c r="D289" s="24"/>
      <c r="E289" s="24"/>
      <c r="F289" s="46">
        <f>22754.72857+50</f>
        <v>22804.728569999999</v>
      </c>
      <c r="G289" s="17">
        <f t="shared" si="4"/>
        <v>1109.525959999999</v>
      </c>
      <c r="H289" s="55">
        <f>23029.45453+884.8</f>
        <v>23914.254529999998</v>
      </c>
      <c r="I289" s="11">
        <v>17767.8</v>
      </c>
      <c r="J289" s="25">
        <v>15229.5</v>
      </c>
    </row>
    <row r="290" spans="1:10" ht="38.25">
      <c r="A290" s="20" t="s">
        <v>235</v>
      </c>
      <c r="B290" s="12" t="s">
        <v>236</v>
      </c>
      <c r="C290" s="12"/>
      <c r="D290" s="12"/>
      <c r="E290" s="12"/>
      <c r="F290" s="13">
        <v>773.3</v>
      </c>
      <c r="G290" s="17">
        <f t="shared" si="4"/>
        <v>0</v>
      </c>
      <c r="H290" s="56">
        <v>773.3</v>
      </c>
      <c r="I290" s="13">
        <v>470.2</v>
      </c>
      <c r="J290" s="26">
        <v>400.1</v>
      </c>
    </row>
    <row r="291" spans="1:10" ht="25.5">
      <c r="A291" s="21" t="s">
        <v>237</v>
      </c>
      <c r="B291" s="14" t="s">
        <v>238</v>
      </c>
      <c r="C291" s="14"/>
      <c r="D291" s="14"/>
      <c r="E291" s="14"/>
      <c r="F291" s="15">
        <v>773.3</v>
      </c>
      <c r="G291" s="17">
        <f t="shared" si="4"/>
        <v>0</v>
      </c>
      <c r="H291" s="59">
        <v>773.3</v>
      </c>
      <c r="I291" s="15">
        <v>470.2</v>
      </c>
      <c r="J291" s="27">
        <v>400.1</v>
      </c>
    </row>
    <row r="292" spans="1:10" ht="127.5">
      <c r="A292" s="9" t="s">
        <v>239</v>
      </c>
      <c r="B292" s="16" t="s">
        <v>240</v>
      </c>
      <c r="C292" s="16"/>
      <c r="D292" s="16"/>
      <c r="E292" s="16"/>
      <c r="F292" s="17">
        <v>773.3</v>
      </c>
      <c r="G292" s="17">
        <f t="shared" si="4"/>
        <v>0</v>
      </c>
      <c r="H292" s="61">
        <v>773.3</v>
      </c>
      <c r="I292" s="17">
        <v>470.2</v>
      </c>
      <c r="J292" s="22">
        <v>400.1</v>
      </c>
    </row>
    <row r="293" spans="1:10" ht="165.75">
      <c r="A293" s="10" t="s">
        <v>535</v>
      </c>
      <c r="B293" s="18" t="s">
        <v>240</v>
      </c>
      <c r="C293" s="18" t="s">
        <v>65</v>
      </c>
      <c r="D293" s="18" t="s">
        <v>241</v>
      </c>
      <c r="E293" s="18" t="s">
        <v>242</v>
      </c>
      <c r="F293" s="17">
        <v>773.3</v>
      </c>
      <c r="G293" s="17">
        <f t="shared" si="4"/>
        <v>0</v>
      </c>
      <c r="H293" s="61">
        <v>773.3</v>
      </c>
      <c r="I293" s="17">
        <v>470.2</v>
      </c>
      <c r="J293" s="22">
        <v>400.1</v>
      </c>
    </row>
    <row r="294" spans="1:10" ht="38.25">
      <c r="A294" s="20" t="s">
        <v>243</v>
      </c>
      <c r="B294" s="12" t="s">
        <v>244</v>
      </c>
      <c r="C294" s="12"/>
      <c r="D294" s="12"/>
      <c r="E294" s="12"/>
      <c r="F294" s="13">
        <f>3001.02857+50</f>
        <v>3051.0285699999999</v>
      </c>
      <c r="G294" s="17">
        <f t="shared" si="4"/>
        <v>0</v>
      </c>
      <c r="H294" s="56">
        <v>3051.0285699999999</v>
      </c>
      <c r="I294" s="13">
        <v>2591</v>
      </c>
      <c r="J294" s="26">
        <v>0</v>
      </c>
    </row>
    <row r="295" spans="1:10" ht="63.75">
      <c r="A295" s="21" t="s">
        <v>245</v>
      </c>
      <c r="B295" s="14" t="s">
        <v>246</v>
      </c>
      <c r="C295" s="14"/>
      <c r="D295" s="14"/>
      <c r="E295" s="14"/>
      <c r="F295" s="15">
        <v>0</v>
      </c>
      <c r="G295" s="17">
        <f t="shared" si="4"/>
        <v>0</v>
      </c>
      <c r="H295" s="59">
        <v>0</v>
      </c>
      <c r="I295" s="15">
        <v>2591</v>
      </c>
      <c r="J295" s="27">
        <v>0</v>
      </c>
    </row>
    <row r="296" spans="1:10" ht="114.75">
      <c r="A296" s="9" t="s">
        <v>247</v>
      </c>
      <c r="B296" s="16" t="s">
        <v>248</v>
      </c>
      <c r="C296" s="16"/>
      <c r="D296" s="16"/>
      <c r="E296" s="16"/>
      <c r="F296" s="17">
        <v>0</v>
      </c>
      <c r="G296" s="17">
        <f t="shared" si="4"/>
        <v>0</v>
      </c>
      <c r="H296" s="61">
        <v>0</v>
      </c>
      <c r="I296" s="17">
        <v>2591</v>
      </c>
      <c r="J296" s="22">
        <v>0</v>
      </c>
    </row>
    <row r="297" spans="1:10" ht="127.5">
      <c r="A297" s="10" t="s">
        <v>497</v>
      </c>
      <c r="B297" s="18" t="s">
        <v>248</v>
      </c>
      <c r="C297" s="18" t="s">
        <v>48</v>
      </c>
      <c r="D297" s="18" t="s">
        <v>66</v>
      </c>
      <c r="E297" s="18" t="s">
        <v>219</v>
      </c>
      <c r="F297" s="17">
        <v>0</v>
      </c>
      <c r="G297" s="17">
        <f t="shared" si="4"/>
        <v>0</v>
      </c>
      <c r="H297" s="61">
        <v>0</v>
      </c>
      <c r="I297" s="17">
        <v>2591</v>
      </c>
      <c r="J297" s="22">
        <v>0</v>
      </c>
    </row>
    <row r="298" spans="1:10" ht="51">
      <c r="A298" s="21" t="s">
        <v>570</v>
      </c>
      <c r="B298" s="14" t="s">
        <v>249</v>
      </c>
      <c r="C298" s="14"/>
      <c r="D298" s="14"/>
      <c r="E298" s="14"/>
      <c r="F298" s="15">
        <f>3001.02857+50</f>
        <v>3051.0285699999999</v>
      </c>
      <c r="G298" s="17">
        <f t="shared" si="4"/>
        <v>0</v>
      </c>
      <c r="H298" s="59">
        <f>3051.02857</f>
        <v>3051.0285699999999</v>
      </c>
      <c r="I298" s="15">
        <v>0</v>
      </c>
      <c r="J298" s="27">
        <v>0</v>
      </c>
    </row>
    <row r="299" spans="1:10" ht="25.5">
      <c r="A299" s="50" t="s">
        <v>572</v>
      </c>
      <c r="B299" s="38" t="s">
        <v>594</v>
      </c>
      <c r="C299" s="53"/>
      <c r="D299" s="53"/>
      <c r="E299" s="53"/>
      <c r="F299" s="43">
        <v>50</v>
      </c>
      <c r="G299" s="17">
        <f t="shared" si="4"/>
        <v>0</v>
      </c>
      <c r="H299" s="61">
        <v>50</v>
      </c>
      <c r="I299" s="43">
        <v>0</v>
      </c>
      <c r="J299" s="44">
        <v>0</v>
      </c>
    </row>
    <row r="300" spans="1:10" ht="38.25">
      <c r="A300" s="50" t="s">
        <v>595</v>
      </c>
      <c r="B300" s="38" t="s">
        <v>594</v>
      </c>
      <c r="C300" s="38" t="s">
        <v>37</v>
      </c>
      <c r="D300" s="38" t="s">
        <v>163</v>
      </c>
      <c r="E300" s="38" t="s">
        <v>190</v>
      </c>
      <c r="F300" s="43">
        <v>50</v>
      </c>
      <c r="G300" s="17">
        <f t="shared" si="4"/>
        <v>0</v>
      </c>
      <c r="H300" s="61">
        <v>50</v>
      </c>
      <c r="I300" s="43">
        <v>0</v>
      </c>
      <c r="J300" s="44">
        <v>0</v>
      </c>
    </row>
    <row r="301" spans="1:10" ht="114.75">
      <c r="A301" s="9" t="s">
        <v>250</v>
      </c>
      <c r="B301" s="16" t="s">
        <v>251</v>
      </c>
      <c r="C301" s="16"/>
      <c r="D301" s="16"/>
      <c r="E301" s="16"/>
      <c r="F301" s="17">
        <v>3001.0285699999999</v>
      </c>
      <c r="G301" s="17">
        <f t="shared" si="4"/>
        <v>0</v>
      </c>
      <c r="H301" s="61">
        <v>3001.0285699999999</v>
      </c>
      <c r="I301" s="17">
        <v>0</v>
      </c>
      <c r="J301" s="22">
        <v>0</v>
      </c>
    </row>
    <row r="302" spans="1:10" ht="127.5">
      <c r="A302" s="10" t="s">
        <v>511</v>
      </c>
      <c r="B302" s="18" t="s">
        <v>251</v>
      </c>
      <c r="C302" s="18" t="s">
        <v>37</v>
      </c>
      <c r="D302" s="18" t="s">
        <v>163</v>
      </c>
      <c r="E302" s="18" t="s">
        <v>190</v>
      </c>
      <c r="F302" s="17">
        <v>3001.0285699999999</v>
      </c>
      <c r="G302" s="17">
        <f t="shared" si="4"/>
        <v>0</v>
      </c>
      <c r="H302" s="61">
        <v>3001.0285699999999</v>
      </c>
      <c r="I302" s="17">
        <v>0</v>
      </c>
      <c r="J302" s="22">
        <v>0</v>
      </c>
    </row>
    <row r="303" spans="1:10" ht="51">
      <c r="A303" s="20" t="s">
        <v>252</v>
      </c>
      <c r="B303" s="12" t="s">
        <v>253</v>
      </c>
      <c r="C303" s="12"/>
      <c r="D303" s="12"/>
      <c r="E303" s="12"/>
      <c r="F303" s="13">
        <f>1570+1000+963.7+76.2</f>
        <v>3609.8999999999996</v>
      </c>
      <c r="G303" s="17">
        <f t="shared" si="4"/>
        <v>327.00584000000026</v>
      </c>
      <c r="H303" s="56">
        <v>3936.9058399999999</v>
      </c>
      <c r="I303" s="13">
        <v>851</v>
      </c>
      <c r="J303" s="26">
        <v>450</v>
      </c>
    </row>
    <row r="304" spans="1:10" ht="51">
      <c r="A304" s="21" t="s">
        <v>254</v>
      </c>
      <c r="B304" s="14" t="s">
        <v>255</v>
      </c>
      <c r="C304" s="14"/>
      <c r="D304" s="14"/>
      <c r="E304" s="14"/>
      <c r="F304" s="15">
        <f>1200+1000+325+76.2</f>
        <v>2601.1999999999998</v>
      </c>
      <c r="G304" s="17">
        <f t="shared" si="4"/>
        <v>-4.9999999999727152E-2</v>
      </c>
      <c r="H304" s="59">
        <v>2601.15</v>
      </c>
      <c r="I304" s="15">
        <v>600</v>
      </c>
      <c r="J304" s="27">
        <v>450</v>
      </c>
    </row>
    <row r="305" spans="1:10" ht="127.5">
      <c r="A305" s="52" t="s">
        <v>568</v>
      </c>
      <c r="B305" s="47" t="s">
        <v>567</v>
      </c>
      <c r="C305" s="18"/>
      <c r="D305" s="18"/>
      <c r="E305" s="18"/>
      <c r="F305" s="17">
        <v>76.2</v>
      </c>
      <c r="G305" s="17">
        <f t="shared" ref="G305:G306" si="5">SUM(H305-F305)</f>
        <v>-4.9999999999997158E-2</v>
      </c>
      <c r="H305" s="61">
        <v>76.150000000000006</v>
      </c>
      <c r="I305" s="17">
        <v>0</v>
      </c>
      <c r="J305" s="22">
        <v>0</v>
      </c>
    </row>
    <row r="306" spans="1:10" ht="153">
      <c r="A306" s="48" t="s">
        <v>569</v>
      </c>
      <c r="B306" s="47" t="s">
        <v>567</v>
      </c>
      <c r="C306" s="47" t="s">
        <v>28</v>
      </c>
      <c r="D306" s="47" t="s">
        <v>26</v>
      </c>
      <c r="E306" s="47" t="s">
        <v>27</v>
      </c>
      <c r="F306" s="17">
        <v>76.2</v>
      </c>
      <c r="G306" s="17">
        <f t="shared" si="5"/>
        <v>-4.9999999999997158E-2</v>
      </c>
      <c r="H306" s="61">
        <v>76.150000000000006</v>
      </c>
      <c r="I306" s="17">
        <v>0</v>
      </c>
      <c r="J306" s="22">
        <v>0</v>
      </c>
    </row>
    <row r="307" spans="1:10" ht="127.5">
      <c r="A307" s="9" t="s">
        <v>256</v>
      </c>
      <c r="B307" s="16" t="s">
        <v>257</v>
      </c>
      <c r="C307" s="16"/>
      <c r="D307" s="16"/>
      <c r="E307" s="16"/>
      <c r="F307" s="17">
        <f>1200+325</f>
        <v>1525</v>
      </c>
      <c r="G307" s="17">
        <f t="shared" si="4"/>
        <v>0</v>
      </c>
      <c r="H307" s="61">
        <v>1525</v>
      </c>
      <c r="I307" s="17">
        <v>600</v>
      </c>
      <c r="J307" s="22">
        <v>450</v>
      </c>
    </row>
    <row r="308" spans="1:10" ht="140.25">
      <c r="A308" s="10" t="s">
        <v>475</v>
      </c>
      <c r="B308" s="18" t="s">
        <v>257</v>
      </c>
      <c r="C308" s="18" t="s">
        <v>28</v>
      </c>
      <c r="D308" s="18" t="s">
        <v>241</v>
      </c>
      <c r="E308" s="18" t="s">
        <v>258</v>
      </c>
      <c r="F308" s="17">
        <f>1200+325</f>
        <v>1525</v>
      </c>
      <c r="G308" s="17">
        <f t="shared" si="4"/>
        <v>0</v>
      </c>
      <c r="H308" s="61">
        <v>1525</v>
      </c>
      <c r="I308" s="17">
        <v>600</v>
      </c>
      <c r="J308" s="22">
        <v>450</v>
      </c>
    </row>
    <row r="309" spans="1:10">
      <c r="A309" s="48" t="s">
        <v>558</v>
      </c>
      <c r="B309" s="47" t="s">
        <v>557</v>
      </c>
      <c r="C309" s="18"/>
      <c r="D309" s="18"/>
      <c r="E309" s="18"/>
      <c r="F309" s="17">
        <v>1000</v>
      </c>
      <c r="G309" s="17">
        <f t="shared" si="4"/>
        <v>0</v>
      </c>
      <c r="H309" s="61">
        <v>1000</v>
      </c>
      <c r="I309" s="17">
        <v>0</v>
      </c>
      <c r="J309" s="22">
        <v>0</v>
      </c>
    </row>
    <row r="310" spans="1:10" ht="25.5">
      <c r="A310" s="48" t="s">
        <v>559</v>
      </c>
      <c r="B310" s="47" t="s">
        <v>557</v>
      </c>
      <c r="C310" s="47" t="s">
        <v>37</v>
      </c>
      <c r="D310" s="47" t="s">
        <v>26</v>
      </c>
      <c r="E310" s="47" t="s">
        <v>27</v>
      </c>
      <c r="F310" s="17">
        <v>1000</v>
      </c>
      <c r="G310" s="17">
        <f t="shared" si="4"/>
        <v>0</v>
      </c>
      <c r="H310" s="61">
        <v>1000</v>
      </c>
      <c r="I310" s="17">
        <v>0</v>
      </c>
      <c r="J310" s="22">
        <v>0</v>
      </c>
    </row>
    <row r="311" spans="1:10" ht="51">
      <c r="A311" s="21" t="s">
        <v>371</v>
      </c>
      <c r="B311" s="14" t="s">
        <v>370</v>
      </c>
      <c r="C311" s="14"/>
      <c r="D311" s="14"/>
      <c r="E311" s="14"/>
      <c r="F311" s="15">
        <f>370+963.7</f>
        <v>1333.7</v>
      </c>
      <c r="G311" s="17">
        <f t="shared" si="4"/>
        <v>2.0558399999999892</v>
      </c>
      <c r="H311" s="59">
        <v>1335.75584</v>
      </c>
      <c r="I311" s="15">
        <v>251</v>
      </c>
      <c r="J311" s="27">
        <v>0</v>
      </c>
    </row>
    <row r="312" spans="1:10" ht="25.5">
      <c r="A312" s="9" t="s">
        <v>423</v>
      </c>
      <c r="B312" s="16" t="s">
        <v>369</v>
      </c>
      <c r="C312" s="16"/>
      <c r="D312" s="16"/>
      <c r="E312" s="16"/>
      <c r="F312" s="17">
        <f>235+963.7</f>
        <v>1198.7</v>
      </c>
      <c r="G312" s="17">
        <f t="shared" si="4"/>
        <v>0</v>
      </c>
      <c r="H312" s="61">
        <v>1198.7</v>
      </c>
      <c r="I312" s="17">
        <v>251</v>
      </c>
      <c r="J312" s="22">
        <v>0</v>
      </c>
    </row>
    <row r="313" spans="1:10" ht="38.25">
      <c r="A313" s="10" t="s">
        <v>512</v>
      </c>
      <c r="B313" s="18" t="s">
        <v>369</v>
      </c>
      <c r="C313" s="18" t="s">
        <v>37</v>
      </c>
      <c r="D313" s="18" t="s">
        <v>163</v>
      </c>
      <c r="E313" s="18" t="s">
        <v>173</v>
      </c>
      <c r="F313" s="17">
        <f>235+963.7</f>
        <v>1198.7</v>
      </c>
      <c r="G313" s="17">
        <f t="shared" si="4"/>
        <v>0</v>
      </c>
      <c r="H313" s="61">
        <v>1198.7</v>
      </c>
      <c r="I313" s="17">
        <v>251</v>
      </c>
      <c r="J313" s="22">
        <v>0</v>
      </c>
    </row>
    <row r="314" spans="1:10" ht="51">
      <c r="A314" s="9" t="s">
        <v>424</v>
      </c>
      <c r="B314" s="16" t="s">
        <v>425</v>
      </c>
      <c r="C314" s="16"/>
      <c r="D314" s="16"/>
      <c r="E314" s="16"/>
      <c r="F314" s="17">
        <v>135</v>
      </c>
      <c r="G314" s="17">
        <f t="shared" si="4"/>
        <v>2.0558399999999892</v>
      </c>
      <c r="H314" s="61">
        <v>137.05583999999999</v>
      </c>
      <c r="I314" s="17">
        <v>0</v>
      </c>
      <c r="J314" s="22">
        <v>0</v>
      </c>
    </row>
    <row r="315" spans="1:10" ht="63.75">
      <c r="A315" s="10" t="s">
        <v>513</v>
      </c>
      <c r="B315" s="18" t="s">
        <v>425</v>
      </c>
      <c r="C315" s="18" t="s">
        <v>37</v>
      </c>
      <c r="D315" s="18" t="s">
        <v>163</v>
      </c>
      <c r="E315" s="18" t="s">
        <v>173</v>
      </c>
      <c r="F315" s="17">
        <v>135</v>
      </c>
      <c r="G315" s="17">
        <f t="shared" si="4"/>
        <v>2.0558399999999892</v>
      </c>
      <c r="H315" s="61">
        <v>137.05583999999999</v>
      </c>
      <c r="I315" s="17">
        <v>0</v>
      </c>
      <c r="J315" s="22">
        <v>0</v>
      </c>
    </row>
    <row r="316" spans="1:10" ht="25.5">
      <c r="A316" s="20" t="s">
        <v>220</v>
      </c>
      <c r="B316" s="12" t="s">
        <v>259</v>
      </c>
      <c r="C316" s="12"/>
      <c r="D316" s="12"/>
      <c r="E316" s="12"/>
      <c r="F316" s="13">
        <v>14445.5</v>
      </c>
      <c r="G316" s="17">
        <f t="shared" si="4"/>
        <v>1707.5201199999992</v>
      </c>
      <c r="H316" s="56">
        <f>15268.22012+884.8</f>
        <v>16153.020119999999</v>
      </c>
      <c r="I316" s="13">
        <v>13855.6</v>
      </c>
      <c r="J316" s="26">
        <v>14379.4</v>
      </c>
    </row>
    <row r="317" spans="1:10" ht="76.5">
      <c r="A317" s="21" t="s">
        <v>260</v>
      </c>
      <c r="B317" s="14" t="s">
        <v>261</v>
      </c>
      <c r="C317" s="14"/>
      <c r="D317" s="14"/>
      <c r="E317" s="14"/>
      <c r="F317" s="15">
        <v>7944.4</v>
      </c>
      <c r="G317" s="17">
        <f t="shared" si="4"/>
        <v>1027.6201199999996</v>
      </c>
      <c r="H317" s="59">
        <f>8467.12012+504.9</f>
        <v>8972.0201199999992</v>
      </c>
      <c r="I317" s="15">
        <v>7587.2</v>
      </c>
      <c r="J317" s="27">
        <v>7863.8</v>
      </c>
    </row>
    <row r="318" spans="1:10" ht="89.25">
      <c r="A318" s="9" t="s">
        <v>602</v>
      </c>
      <c r="B318" s="60" t="s">
        <v>618</v>
      </c>
      <c r="C318" s="60"/>
      <c r="D318" s="60"/>
      <c r="E318" s="60"/>
      <c r="F318" s="15">
        <v>0</v>
      </c>
      <c r="G318" s="17">
        <f t="shared" si="4"/>
        <v>222.72012000000001</v>
      </c>
      <c r="H318" s="61">
        <v>222.72012000000001</v>
      </c>
      <c r="I318" s="15">
        <v>0</v>
      </c>
      <c r="J318" s="27">
        <v>0</v>
      </c>
    </row>
    <row r="319" spans="1:10" ht="89.25">
      <c r="A319" s="10" t="s">
        <v>602</v>
      </c>
      <c r="B319" s="62" t="s">
        <v>618</v>
      </c>
      <c r="C319" s="62" t="s">
        <v>25</v>
      </c>
      <c r="D319" s="62" t="s">
        <v>241</v>
      </c>
      <c r="E319" s="62" t="s">
        <v>242</v>
      </c>
      <c r="F319" s="15">
        <v>0</v>
      </c>
      <c r="G319" s="17">
        <f t="shared" si="4"/>
        <v>222.72012000000001</v>
      </c>
      <c r="H319" s="61">
        <v>222.72012000000001</v>
      </c>
      <c r="I319" s="15">
        <v>0</v>
      </c>
      <c r="J319" s="27">
        <v>0</v>
      </c>
    </row>
    <row r="320" spans="1:10" ht="140.25">
      <c r="A320" s="9" t="s">
        <v>262</v>
      </c>
      <c r="B320" s="16" t="s">
        <v>263</v>
      </c>
      <c r="C320" s="16"/>
      <c r="D320" s="16"/>
      <c r="E320" s="16"/>
      <c r="F320" s="17">
        <v>7944.4</v>
      </c>
      <c r="G320" s="17">
        <f t="shared" si="4"/>
        <v>804.89999999999964</v>
      </c>
      <c r="H320" s="61">
        <f>8244.4+504.9</f>
        <v>8749.2999999999993</v>
      </c>
      <c r="I320" s="17">
        <v>7587.2</v>
      </c>
      <c r="J320" s="22">
        <v>7863.8</v>
      </c>
    </row>
    <row r="321" spans="1:11" ht="216.75">
      <c r="A321" s="10" t="s">
        <v>444</v>
      </c>
      <c r="B321" s="18" t="s">
        <v>263</v>
      </c>
      <c r="C321" s="18" t="s">
        <v>25</v>
      </c>
      <c r="D321" s="18" t="s">
        <v>241</v>
      </c>
      <c r="E321" s="18" t="s">
        <v>242</v>
      </c>
      <c r="F321" s="17">
        <v>6916.9</v>
      </c>
      <c r="G321" s="17">
        <f t="shared" si="4"/>
        <v>367</v>
      </c>
      <c r="H321" s="61">
        <f>6916.9+367</f>
        <v>7283.9</v>
      </c>
      <c r="I321" s="17">
        <v>6701.1</v>
      </c>
      <c r="J321" s="22">
        <v>6968.7</v>
      </c>
      <c r="K321" s="65">
        <v>367</v>
      </c>
    </row>
    <row r="322" spans="1:11" ht="165.75">
      <c r="A322" s="10" t="s">
        <v>476</v>
      </c>
      <c r="B322" s="18" t="s">
        <v>263</v>
      </c>
      <c r="C322" s="18" t="s">
        <v>28</v>
      </c>
      <c r="D322" s="18" t="s">
        <v>241</v>
      </c>
      <c r="E322" s="18" t="s">
        <v>242</v>
      </c>
      <c r="F322" s="17">
        <v>1027.5</v>
      </c>
      <c r="G322" s="17">
        <f t="shared" si="4"/>
        <v>437.90000000000009</v>
      </c>
      <c r="H322" s="61">
        <f>1327.5+137.9</f>
        <v>1465.4</v>
      </c>
      <c r="I322" s="17">
        <v>886.1</v>
      </c>
      <c r="J322" s="22">
        <v>895.1</v>
      </c>
      <c r="K322" s="65">
        <v>137.9</v>
      </c>
    </row>
    <row r="323" spans="1:11" ht="38.25">
      <c r="A323" s="21" t="s">
        <v>264</v>
      </c>
      <c r="B323" s="14" t="s">
        <v>265</v>
      </c>
      <c r="C323" s="14"/>
      <c r="D323" s="14"/>
      <c r="E323" s="14"/>
      <c r="F323" s="15">
        <v>5232.6000000000004</v>
      </c>
      <c r="G323" s="17">
        <f t="shared" si="4"/>
        <v>618.30000000000018</v>
      </c>
      <c r="H323" s="59">
        <f>5532.6+318.3</f>
        <v>5850.9000000000005</v>
      </c>
      <c r="I323" s="15">
        <v>5044.1000000000004</v>
      </c>
      <c r="J323" s="27">
        <v>5238.1000000000004</v>
      </c>
    </row>
    <row r="324" spans="1:11" ht="127.5">
      <c r="A324" s="9" t="s">
        <v>266</v>
      </c>
      <c r="B324" s="16" t="s">
        <v>267</v>
      </c>
      <c r="C324" s="16"/>
      <c r="D324" s="16"/>
      <c r="E324" s="16"/>
      <c r="F324" s="17">
        <v>5232.6000000000004</v>
      </c>
      <c r="G324" s="17">
        <f t="shared" si="4"/>
        <v>618.30000000000018</v>
      </c>
      <c r="H324" s="61">
        <f>5532.6+318.3</f>
        <v>5850.9000000000005</v>
      </c>
      <c r="I324" s="17">
        <v>5044.1000000000004</v>
      </c>
      <c r="J324" s="22">
        <v>5238.1000000000004</v>
      </c>
    </row>
    <row r="325" spans="1:11" ht="165.75">
      <c r="A325" s="10" t="s">
        <v>536</v>
      </c>
      <c r="B325" s="18" t="s">
        <v>267</v>
      </c>
      <c r="C325" s="18" t="s">
        <v>65</v>
      </c>
      <c r="D325" s="18" t="s">
        <v>241</v>
      </c>
      <c r="E325" s="18" t="s">
        <v>242</v>
      </c>
      <c r="F325" s="17">
        <v>5232.6000000000004</v>
      </c>
      <c r="G325" s="17">
        <f t="shared" si="4"/>
        <v>618.30000000000018</v>
      </c>
      <c r="H325" s="61">
        <f>5532.6+318.3</f>
        <v>5850.9000000000005</v>
      </c>
      <c r="I325" s="17">
        <v>5044.1000000000004</v>
      </c>
      <c r="J325" s="22">
        <v>5238.1000000000004</v>
      </c>
    </row>
    <row r="326" spans="1:11" ht="38.25">
      <c r="A326" s="21" t="s">
        <v>268</v>
      </c>
      <c r="B326" s="14" t="s">
        <v>269</v>
      </c>
      <c r="C326" s="14"/>
      <c r="D326" s="14"/>
      <c r="E326" s="14"/>
      <c r="F326" s="15">
        <v>1268.5</v>
      </c>
      <c r="G326" s="17">
        <f t="shared" si="4"/>
        <v>61.599999999999909</v>
      </c>
      <c r="H326" s="59">
        <f>1268.5+61.6</f>
        <v>1330.1</v>
      </c>
      <c r="I326" s="15">
        <v>1224.3</v>
      </c>
      <c r="J326" s="27">
        <v>1277.5</v>
      </c>
    </row>
    <row r="327" spans="1:11" ht="114.75">
      <c r="A327" s="9" t="s">
        <v>270</v>
      </c>
      <c r="B327" s="16" t="s">
        <v>271</v>
      </c>
      <c r="C327" s="16"/>
      <c r="D327" s="16"/>
      <c r="E327" s="16"/>
      <c r="F327" s="17">
        <v>1268.5</v>
      </c>
      <c r="G327" s="17">
        <f t="shared" ref="G327:G404" si="6">SUM(H327-F327)</f>
        <v>61.599999999999909</v>
      </c>
      <c r="H327" s="61">
        <f>1268.5+61.6</f>
        <v>1330.1</v>
      </c>
      <c r="I327" s="17">
        <v>1224.3</v>
      </c>
      <c r="J327" s="22">
        <v>1277.5</v>
      </c>
    </row>
    <row r="328" spans="1:11" ht="127.5">
      <c r="A328" s="10" t="s">
        <v>514</v>
      </c>
      <c r="B328" s="18" t="s">
        <v>271</v>
      </c>
      <c r="C328" s="18" t="s">
        <v>37</v>
      </c>
      <c r="D328" s="18" t="s">
        <v>26</v>
      </c>
      <c r="E328" s="18" t="s">
        <v>27</v>
      </c>
      <c r="F328" s="17">
        <v>44.2</v>
      </c>
      <c r="G328" s="17">
        <f t="shared" si="6"/>
        <v>0</v>
      </c>
      <c r="H328" s="61">
        <v>44.2</v>
      </c>
      <c r="I328" s="17">
        <v>0</v>
      </c>
      <c r="J328" s="22">
        <v>0</v>
      </c>
    </row>
    <row r="329" spans="1:11" ht="153">
      <c r="A329" s="10" t="s">
        <v>537</v>
      </c>
      <c r="B329" s="18" t="s">
        <v>271</v>
      </c>
      <c r="C329" s="18" t="s">
        <v>65</v>
      </c>
      <c r="D329" s="18" t="s">
        <v>26</v>
      </c>
      <c r="E329" s="18" t="s">
        <v>27</v>
      </c>
      <c r="F329" s="17">
        <v>1224.3</v>
      </c>
      <c r="G329" s="17">
        <f t="shared" si="6"/>
        <v>61.599999999999909</v>
      </c>
      <c r="H329" s="61">
        <f>1224.3+61.6</f>
        <v>1285.8999999999999</v>
      </c>
      <c r="I329" s="17">
        <v>1224.3</v>
      </c>
      <c r="J329" s="22">
        <v>1277.5</v>
      </c>
      <c r="K329" s="65">
        <v>61.6</v>
      </c>
    </row>
    <row r="330" spans="1:11" ht="60.75" thickBot="1">
      <c r="A330" s="23" t="s">
        <v>272</v>
      </c>
      <c r="B330" s="24" t="s">
        <v>273</v>
      </c>
      <c r="C330" s="24"/>
      <c r="D330" s="24"/>
      <c r="E330" s="24"/>
      <c r="F330" s="11">
        <f>6000+200</f>
        <v>6200</v>
      </c>
      <c r="G330" s="17">
        <f t="shared" si="6"/>
        <v>0</v>
      </c>
      <c r="H330" s="55">
        <v>6200</v>
      </c>
      <c r="I330" s="11">
        <v>2000</v>
      </c>
      <c r="J330" s="25">
        <v>2000</v>
      </c>
    </row>
    <row r="331" spans="1:11" ht="25.5">
      <c r="A331" s="20" t="s">
        <v>274</v>
      </c>
      <c r="B331" s="12" t="s">
        <v>275</v>
      </c>
      <c r="C331" s="12"/>
      <c r="D331" s="12"/>
      <c r="E331" s="12"/>
      <c r="F331" s="13">
        <f>6000+200</f>
        <v>6200</v>
      </c>
      <c r="G331" s="17">
        <f t="shared" si="6"/>
        <v>0</v>
      </c>
      <c r="H331" s="56">
        <v>6200</v>
      </c>
      <c r="I331" s="13">
        <v>2000</v>
      </c>
      <c r="J331" s="26">
        <v>2000</v>
      </c>
    </row>
    <row r="332" spans="1:11" ht="51">
      <c r="A332" s="21" t="s">
        <v>276</v>
      </c>
      <c r="B332" s="14" t="s">
        <v>277</v>
      </c>
      <c r="C332" s="14"/>
      <c r="D332" s="14"/>
      <c r="E332" s="14"/>
      <c r="F332" s="15">
        <f>6000+200</f>
        <v>6200</v>
      </c>
      <c r="G332" s="17">
        <f t="shared" si="6"/>
        <v>0</v>
      </c>
      <c r="H332" s="59">
        <v>6200</v>
      </c>
      <c r="I332" s="15">
        <v>2000</v>
      </c>
      <c r="J332" s="27">
        <v>2000</v>
      </c>
    </row>
    <row r="333" spans="1:11" ht="25.5">
      <c r="A333" s="9" t="s">
        <v>278</v>
      </c>
      <c r="B333" s="16" t="s">
        <v>279</v>
      </c>
      <c r="C333" s="16"/>
      <c r="D333" s="16"/>
      <c r="E333" s="16"/>
      <c r="F333" s="17">
        <f>6000+200</f>
        <v>6200</v>
      </c>
      <c r="G333" s="17">
        <f t="shared" si="6"/>
        <v>0</v>
      </c>
      <c r="H333" s="61">
        <v>6200</v>
      </c>
      <c r="I333" s="17">
        <v>2000</v>
      </c>
      <c r="J333" s="22">
        <v>2000</v>
      </c>
    </row>
    <row r="334" spans="1:11" ht="76.5">
      <c r="A334" s="10" t="s">
        <v>538</v>
      </c>
      <c r="B334" s="18" t="s">
        <v>279</v>
      </c>
      <c r="C334" s="18" t="s">
        <v>65</v>
      </c>
      <c r="D334" s="18" t="s">
        <v>241</v>
      </c>
      <c r="E334" s="18" t="s">
        <v>258</v>
      </c>
      <c r="F334" s="17">
        <f>6000+200</f>
        <v>6200</v>
      </c>
      <c r="G334" s="17">
        <f t="shared" si="6"/>
        <v>0</v>
      </c>
      <c r="H334" s="61">
        <v>6200</v>
      </c>
      <c r="I334" s="17">
        <v>2000</v>
      </c>
      <c r="J334" s="22">
        <v>2000</v>
      </c>
    </row>
    <row r="335" spans="1:11" ht="90.75" thickBot="1">
      <c r="A335" s="23" t="s">
        <v>280</v>
      </c>
      <c r="B335" s="24" t="s">
        <v>281</v>
      </c>
      <c r="C335" s="24"/>
      <c r="D335" s="24"/>
      <c r="E335" s="24"/>
      <c r="F335" s="11">
        <v>5524.8050000000003</v>
      </c>
      <c r="G335" s="17">
        <f t="shared" si="6"/>
        <v>2749.3999999999996</v>
      </c>
      <c r="H335" s="55">
        <f>7978.805+295.4</f>
        <v>8274.2049999999999</v>
      </c>
      <c r="I335" s="11">
        <v>4687.2</v>
      </c>
      <c r="J335" s="25">
        <v>4780.5</v>
      </c>
    </row>
    <row r="336" spans="1:11" ht="38.25">
      <c r="A336" s="21" t="s">
        <v>282</v>
      </c>
      <c r="B336" s="14" t="s">
        <v>283</v>
      </c>
      <c r="C336" s="14"/>
      <c r="D336" s="14"/>
      <c r="E336" s="14"/>
      <c r="F336" s="15">
        <v>494.80500000000001</v>
      </c>
      <c r="G336" s="17">
        <f t="shared" si="6"/>
        <v>2504</v>
      </c>
      <c r="H336" s="59">
        <f>2948.805+50</f>
        <v>2998.8049999999998</v>
      </c>
      <c r="I336" s="15">
        <v>100</v>
      </c>
      <c r="J336" s="27">
        <v>100</v>
      </c>
    </row>
    <row r="337" spans="1:11" ht="89.25">
      <c r="A337" s="9" t="s">
        <v>620</v>
      </c>
      <c r="B337" s="60" t="s">
        <v>619</v>
      </c>
      <c r="C337" s="60"/>
      <c r="D337" s="60"/>
      <c r="E337" s="60"/>
      <c r="F337" s="15">
        <v>0</v>
      </c>
      <c r="G337" s="17">
        <f t="shared" si="6"/>
        <v>2454</v>
      </c>
      <c r="H337" s="61">
        <v>2454</v>
      </c>
      <c r="I337" s="15">
        <v>0</v>
      </c>
      <c r="J337" s="27">
        <v>0</v>
      </c>
    </row>
    <row r="338" spans="1:11" ht="89.25">
      <c r="A338" s="10" t="s">
        <v>620</v>
      </c>
      <c r="B338" s="62" t="s">
        <v>619</v>
      </c>
      <c r="C338" s="62" t="s">
        <v>28</v>
      </c>
      <c r="D338" s="62" t="s">
        <v>26</v>
      </c>
      <c r="E338" s="62" t="s">
        <v>27</v>
      </c>
      <c r="F338" s="15">
        <v>0</v>
      </c>
      <c r="G338" s="17">
        <f t="shared" si="6"/>
        <v>199</v>
      </c>
      <c r="H338" s="61">
        <v>199</v>
      </c>
      <c r="I338" s="15">
        <v>0</v>
      </c>
      <c r="J338" s="27">
        <v>0</v>
      </c>
    </row>
    <row r="339" spans="1:11" ht="89.25">
      <c r="A339" s="10" t="s">
        <v>620</v>
      </c>
      <c r="B339" s="62" t="s">
        <v>619</v>
      </c>
      <c r="C339" s="62" t="s">
        <v>37</v>
      </c>
      <c r="D339" s="62" t="s">
        <v>163</v>
      </c>
      <c r="E339" s="62" t="s">
        <v>173</v>
      </c>
      <c r="F339" s="15">
        <v>0</v>
      </c>
      <c r="G339" s="17">
        <f t="shared" si="6"/>
        <v>2255</v>
      </c>
      <c r="H339" s="61">
        <v>2255</v>
      </c>
      <c r="I339" s="15">
        <v>0</v>
      </c>
      <c r="J339" s="27">
        <v>0</v>
      </c>
    </row>
    <row r="340" spans="1:11" ht="89.25">
      <c r="A340" s="9" t="s">
        <v>284</v>
      </c>
      <c r="B340" s="16" t="s">
        <v>285</v>
      </c>
      <c r="C340" s="16"/>
      <c r="D340" s="16"/>
      <c r="E340" s="16"/>
      <c r="F340" s="17">
        <v>334.80500000000001</v>
      </c>
      <c r="G340" s="17">
        <f t="shared" si="6"/>
        <v>-60.552180000000021</v>
      </c>
      <c r="H340" s="61">
        <v>274.25281999999999</v>
      </c>
      <c r="I340" s="17">
        <v>100</v>
      </c>
      <c r="J340" s="22">
        <v>100</v>
      </c>
    </row>
    <row r="341" spans="1:11" ht="102">
      <c r="A341" s="10" t="s">
        <v>498</v>
      </c>
      <c r="B341" s="18" t="s">
        <v>285</v>
      </c>
      <c r="C341" s="18" t="s">
        <v>48</v>
      </c>
      <c r="D341" s="18" t="s">
        <v>66</v>
      </c>
      <c r="E341" s="18" t="s">
        <v>219</v>
      </c>
      <c r="F341" s="17">
        <v>20</v>
      </c>
      <c r="G341" s="17">
        <f t="shared" si="6"/>
        <v>50</v>
      </c>
      <c r="H341" s="61">
        <v>70</v>
      </c>
      <c r="I341" s="17">
        <v>0</v>
      </c>
      <c r="J341" s="22">
        <v>0</v>
      </c>
    </row>
    <row r="342" spans="1:11" ht="89.25">
      <c r="A342" s="10" t="s">
        <v>284</v>
      </c>
      <c r="B342" s="62" t="s">
        <v>285</v>
      </c>
      <c r="C342" s="62" t="s">
        <v>37</v>
      </c>
      <c r="D342" s="62" t="s">
        <v>163</v>
      </c>
      <c r="E342" s="62" t="s">
        <v>173</v>
      </c>
      <c r="F342" s="17">
        <v>0</v>
      </c>
      <c r="G342" s="17">
        <f t="shared" si="6"/>
        <v>35.273800000000001</v>
      </c>
      <c r="H342" s="61">
        <v>35.273800000000001</v>
      </c>
      <c r="I342" s="17">
        <v>0</v>
      </c>
      <c r="J342" s="22">
        <v>0</v>
      </c>
    </row>
    <row r="343" spans="1:11" ht="89.25">
      <c r="A343" s="10" t="s">
        <v>547</v>
      </c>
      <c r="B343" s="18" t="s">
        <v>285</v>
      </c>
      <c r="C343" s="18" t="s">
        <v>49</v>
      </c>
      <c r="D343" s="18" t="s">
        <v>26</v>
      </c>
      <c r="E343" s="18" t="s">
        <v>286</v>
      </c>
      <c r="F343" s="17">
        <v>314.80500000000001</v>
      </c>
      <c r="G343" s="17">
        <f t="shared" si="6"/>
        <v>-145.82598000000002</v>
      </c>
      <c r="H343" s="61">
        <v>168.97901999999999</v>
      </c>
      <c r="I343" s="17">
        <v>100</v>
      </c>
      <c r="J343" s="22">
        <v>100</v>
      </c>
    </row>
    <row r="344" spans="1:11" ht="89.25">
      <c r="A344" s="10" t="s">
        <v>628</v>
      </c>
      <c r="B344" s="47" t="s">
        <v>627</v>
      </c>
      <c r="C344" s="18"/>
      <c r="D344" s="18"/>
      <c r="E344" s="18"/>
      <c r="F344" s="17">
        <v>0</v>
      </c>
      <c r="G344" s="17">
        <f t="shared" si="6"/>
        <v>50</v>
      </c>
      <c r="H344" s="61">
        <v>50</v>
      </c>
      <c r="I344" s="17">
        <v>0</v>
      </c>
      <c r="J344" s="22">
        <v>0</v>
      </c>
    </row>
    <row r="345" spans="1:11" ht="89.25">
      <c r="A345" s="10" t="s">
        <v>629</v>
      </c>
      <c r="B345" s="47" t="s">
        <v>627</v>
      </c>
      <c r="C345" s="47" t="s">
        <v>37</v>
      </c>
      <c r="D345" s="18" t="s">
        <v>287</v>
      </c>
      <c r="E345" s="18" t="s">
        <v>288</v>
      </c>
      <c r="F345" s="17">
        <v>0</v>
      </c>
      <c r="G345" s="17">
        <f t="shared" si="6"/>
        <v>50</v>
      </c>
      <c r="H345" s="61">
        <v>50</v>
      </c>
      <c r="I345" s="17">
        <v>0</v>
      </c>
      <c r="J345" s="22">
        <v>0</v>
      </c>
      <c r="K345" s="65">
        <v>50</v>
      </c>
    </row>
    <row r="346" spans="1:11" ht="102">
      <c r="A346" s="9" t="s">
        <v>289</v>
      </c>
      <c r="B346" s="16" t="s">
        <v>290</v>
      </c>
      <c r="C346" s="16"/>
      <c r="D346" s="16"/>
      <c r="E346" s="16"/>
      <c r="F346" s="17">
        <v>160</v>
      </c>
      <c r="G346" s="17">
        <f t="shared" si="6"/>
        <v>60.552179999999993</v>
      </c>
      <c r="H346" s="61">
        <v>220.55217999999999</v>
      </c>
      <c r="I346" s="17">
        <v>0</v>
      </c>
      <c r="J346" s="22">
        <v>0</v>
      </c>
    </row>
    <row r="347" spans="1:11" ht="114.75">
      <c r="A347" s="10" t="s">
        <v>499</v>
      </c>
      <c r="B347" s="18" t="s">
        <v>290</v>
      </c>
      <c r="C347" s="18" t="s">
        <v>48</v>
      </c>
      <c r="D347" s="18" t="s">
        <v>287</v>
      </c>
      <c r="E347" s="18" t="s">
        <v>288</v>
      </c>
      <c r="F347" s="17">
        <v>160</v>
      </c>
      <c r="G347" s="17">
        <f t="shared" si="6"/>
        <v>60.552179999999993</v>
      </c>
      <c r="H347" s="61">
        <v>220.55217999999999</v>
      </c>
      <c r="I347" s="17">
        <v>0</v>
      </c>
      <c r="J347" s="22">
        <v>0</v>
      </c>
    </row>
    <row r="348" spans="1:11" ht="25.5">
      <c r="A348" s="21" t="s">
        <v>291</v>
      </c>
      <c r="B348" s="14" t="s">
        <v>292</v>
      </c>
      <c r="C348" s="14"/>
      <c r="D348" s="14"/>
      <c r="E348" s="14"/>
      <c r="F348" s="15">
        <v>240</v>
      </c>
      <c r="G348" s="17">
        <f t="shared" si="6"/>
        <v>0</v>
      </c>
      <c r="H348" s="59">
        <v>240</v>
      </c>
      <c r="I348" s="15">
        <v>50</v>
      </c>
      <c r="J348" s="27">
        <v>50</v>
      </c>
    </row>
    <row r="349" spans="1:11" ht="76.5">
      <c r="A349" s="9" t="s">
        <v>293</v>
      </c>
      <c r="B349" s="16" t="s">
        <v>294</v>
      </c>
      <c r="C349" s="16"/>
      <c r="D349" s="16"/>
      <c r="E349" s="16"/>
      <c r="F349" s="17">
        <v>240</v>
      </c>
      <c r="G349" s="17">
        <f t="shared" si="6"/>
        <v>0</v>
      </c>
      <c r="H349" s="61">
        <v>240</v>
      </c>
      <c r="I349" s="17">
        <v>50</v>
      </c>
      <c r="J349" s="22">
        <v>50</v>
      </c>
    </row>
    <row r="350" spans="1:11" ht="102">
      <c r="A350" s="10" t="s">
        <v>477</v>
      </c>
      <c r="B350" s="18" t="s">
        <v>294</v>
      </c>
      <c r="C350" s="18" t="s">
        <v>28</v>
      </c>
      <c r="D350" s="18" t="s">
        <v>26</v>
      </c>
      <c r="E350" s="18" t="s">
        <v>27</v>
      </c>
      <c r="F350" s="17">
        <v>240</v>
      </c>
      <c r="G350" s="17">
        <f t="shared" si="6"/>
        <v>0</v>
      </c>
      <c r="H350" s="61">
        <v>240</v>
      </c>
      <c r="I350" s="17">
        <v>0</v>
      </c>
      <c r="J350" s="22">
        <v>0</v>
      </c>
    </row>
    <row r="351" spans="1:11" ht="89.25">
      <c r="A351" s="10" t="s">
        <v>548</v>
      </c>
      <c r="B351" s="18" t="s">
        <v>294</v>
      </c>
      <c r="C351" s="18" t="s">
        <v>49</v>
      </c>
      <c r="D351" s="18" t="s">
        <v>26</v>
      </c>
      <c r="E351" s="18" t="s">
        <v>27</v>
      </c>
      <c r="F351" s="17">
        <v>0</v>
      </c>
      <c r="G351" s="17">
        <f t="shared" si="6"/>
        <v>0</v>
      </c>
      <c r="H351" s="61">
        <v>0</v>
      </c>
      <c r="I351" s="17">
        <v>50</v>
      </c>
      <c r="J351" s="22">
        <v>50</v>
      </c>
    </row>
    <row r="352" spans="1:11" ht="51">
      <c r="A352" s="21" t="s">
        <v>295</v>
      </c>
      <c r="B352" s="14" t="s">
        <v>296</v>
      </c>
      <c r="C352" s="14"/>
      <c r="D352" s="14"/>
      <c r="E352" s="14"/>
      <c r="F352" s="15">
        <v>4790</v>
      </c>
      <c r="G352" s="17">
        <f t="shared" si="6"/>
        <v>245.39999999999964</v>
      </c>
      <c r="H352" s="59">
        <f>4790+245.4</f>
        <v>5035.3999999999996</v>
      </c>
      <c r="I352" s="15">
        <v>4537.2</v>
      </c>
      <c r="J352" s="27">
        <v>4630.5</v>
      </c>
    </row>
    <row r="353" spans="1:11" ht="89.25">
      <c r="A353" s="9" t="s">
        <v>297</v>
      </c>
      <c r="B353" s="16" t="s">
        <v>298</v>
      </c>
      <c r="C353" s="16"/>
      <c r="D353" s="16"/>
      <c r="E353" s="16"/>
      <c r="F353" s="17">
        <v>4790</v>
      </c>
      <c r="G353" s="17">
        <f t="shared" si="6"/>
        <v>245.39999999999964</v>
      </c>
      <c r="H353" s="61">
        <f>4790+245.4</f>
        <v>5035.3999999999996</v>
      </c>
      <c r="I353" s="17">
        <v>4537.2</v>
      </c>
      <c r="J353" s="22">
        <v>4630.5</v>
      </c>
    </row>
    <row r="354" spans="1:11" ht="165.75">
      <c r="A354" s="10" t="s">
        <v>445</v>
      </c>
      <c r="B354" s="18" t="s">
        <v>298</v>
      </c>
      <c r="C354" s="18" t="s">
        <v>25</v>
      </c>
      <c r="D354" s="18" t="s">
        <v>26</v>
      </c>
      <c r="E354" s="18" t="s">
        <v>27</v>
      </c>
      <c r="F354" s="17">
        <v>4467.3999999999996</v>
      </c>
      <c r="G354" s="17">
        <f t="shared" si="6"/>
        <v>245.39999999999964</v>
      </c>
      <c r="H354" s="61">
        <f>4467.4+245.4</f>
        <v>4712.7999999999993</v>
      </c>
      <c r="I354" s="17">
        <v>4313.8</v>
      </c>
      <c r="J354" s="22">
        <v>4356.8999999999996</v>
      </c>
      <c r="K354" s="65">
        <v>245.4</v>
      </c>
    </row>
    <row r="355" spans="1:11" ht="114.75">
      <c r="A355" s="10" t="s">
        <v>478</v>
      </c>
      <c r="B355" s="18" t="s">
        <v>298</v>
      </c>
      <c r="C355" s="18" t="s">
        <v>28</v>
      </c>
      <c r="D355" s="18" t="s">
        <v>26</v>
      </c>
      <c r="E355" s="18" t="s">
        <v>27</v>
      </c>
      <c r="F355" s="17">
        <v>319.60000000000002</v>
      </c>
      <c r="G355" s="17">
        <f t="shared" si="6"/>
        <v>0</v>
      </c>
      <c r="H355" s="61">
        <v>319.60000000000002</v>
      </c>
      <c r="I355" s="17">
        <v>220.4</v>
      </c>
      <c r="J355" s="22">
        <v>270.60000000000002</v>
      </c>
    </row>
    <row r="356" spans="1:11" ht="102">
      <c r="A356" s="10" t="s">
        <v>549</v>
      </c>
      <c r="B356" s="18" t="s">
        <v>298</v>
      </c>
      <c r="C356" s="18" t="s">
        <v>49</v>
      </c>
      <c r="D356" s="18" t="s">
        <v>26</v>
      </c>
      <c r="E356" s="18" t="s">
        <v>27</v>
      </c>
      <c r="F356" s="17">
        <v>3</v>
      </c>
      <c r="G356" s="17">
        <f t="shared" si="6"/>
        <v>0</v>
      </c>
      <c r="H356" s="61">
        <v>3</v>
      </c>
      <c r="I356" s="17">
        <v>3</v>
      </c>
      <c r="J356" s="22">
        <v>3</v>
      </c>
    </row>
    <row r="357" spans="1:11" ht="75.75" thickBot="1">
      <c r="A357" s="23" t="s">
        <v>299</v>
      </c>
      <c r="B357" s="24" t="s">
        <v>300</v>
      </c>
      <c r="C357" s="24"/>
      <c r="D357" s="24"/>
      <c r="E357" s="24"/>
      <c r="F357" s="11">
        <v>90</v>
      </c>
      <c r="G357" s="17">
        <f t="shared" si="6"/>
        <v>0</v>
      </c>
      <c r="H357" s="55">
        <v>90</v>
      </c>
      <c r="I357" s="11">
        <v>90</v>
      </c>
      <c r="J357" s="25">
        <v>90</v>
      </c>
    </row>
    <row r="358" spans="1:11" ht="38.25">
      <c r="A358" s="81" t="s">
        <v>301</v>
      </c>
      <c r="B358" s="14" t="s">
        <v>302</v>
      </c>
      <c r="C358" s="14"/>
      <c r="D358" s="14"/>
      <c r="E358" s="14"/>
      <c r="F358" s="15">
        <v>30</v>
      </c>
      <c r="G358" s="17">
        <f t="shared" si="6"/>
        <v>0</v>
      </c>
      <c r="H358" s="59">
        <v>30</v>
      </c>
      <c r="I358" s="15">
        <v>30</v>
      </c>
      <c r="J358" s="27">
        <v>30</v>
      </c>
    </row>
    <row r="359" spans="1:11" ht="25.5">
      <c r="A359" s="9" t="s">
        <v>303</v>
      </c>
      <c r="B359" s="16" t="s">
        <v>304</v>
      </c>
      <c r="C359" s="16"/>
      <c r="D359" s="16"/>
      <c r="E359" s="16"/>
      <c r="F359" s="17">
        <v>30</v>
      </c>
      <c r="G359" s="17">
        <f t="shared" si="6"/>
        <v>0</v>
      </c>
      <c r="H359" s="61">
        <v>30</v>
      </c>
      <c r="I359" s="17">
        <v>30</v>
      </c>
      <c r="J359" s="22">
        <v>30</v>
      </c>
    </row>
    <row r="360" spans="1:11" ht="51">
      <c r="A360" s="10" t="s">
        <v>479</v>
      </c>
      <c r="B360" s="18" t="s">
        <v>304</v>
      </c>
      <c r="C360" s="18" t="s">
        <v>28</v>
      </c>
      <c r="D360" s="18" t="s">
        <v>26</v>
      </c>
      <c r="E360" s="18" t="s">
        <v>27</v>
      </c>
      <c r="F360" s="17">
        <v>30</v>
      </c>
      <c r="G360" s="17">
        <f t="shared" si="6"/>
        <v>0</v>
      </c>
      <c r="H360" s="61">
        <v>30</v>
      </c>
      <c r="I360" s="17">
        <v>30</v>
      </c>
      <c r="J360" s="22">
        <v>30</v>
      </c>
    </row>
    <row r="361" spans="1:11" ht="38.25">
      <c r="A361" s="21" t="s">
        <v>305</v>
      </c>
      <c r="B361" s="14" t="s">
        <v>306</v>
      </c>
      <c r="C361" s="14"/>
      <c r="D361" s="14"/>
      <c r="E361" s="14"/>
      <c r="F361" s="15">
        <v>30</v>
      </c>
      <c r="G361" s="17">
        <f t="shared" si="6"/>
        <v>0</v>
      </c>
      <c r="H361" s="59">
        <v>30</v>
      </c>
      <c r="I361" s="15">
        <v>30</v>
      </c>
      <c r="J361" s="27">
        <v>30</v>
      </c>
    </row>
    <row r="362" spans="1:11" ht="25.5">
      <c r="A362" s="9" t="s">
        <v>307</v>
      </c>
      <c r="B362" s="16" t="s">
        <v>308</v>
      </c>
      <c r="C362" s="16"/>
      <c r="D362" s="16"/>
      <c r="E362" s="16"/>
      <c r="F362" s="17">
        <v>30</v>
      </c>
      <c r="G362" s="17">
        <f t="shared" si="6"/>
        <v>0</v>
      </c>
      <c r="H362" s="61">
        <v>30</v>
      </c>
      <c r="I362" s="17">
        <v>30</v>
      </c>
      <c r="J362" s="22">
        <v>30</v>
      </c>
    </row>
    <row r="363" spans="1:11" ht="51">
      <c r="A363" s="10" t="s">
        <v>480</v>
      </c>
      <c r="B363" s="18" t="s">
        <v>308</v>
      </c>
      <c r="C363" s="18" t="s">
        <v>28</v>
      </c>
      <c r="D363" s="18" t="s">
        <v>26</v>
      </c>
      <c r="E363" s="18" t="s">
        <v>27</v>
      </c>
      <c r="F363" s="17">
        <v>30</v>
      </c>
      <c r="G363" s="17">
        <f t="shared" si="6"/>
        <v>0</v>
      </c>
      <c r="H363" s="61">
        <v>30</v>
      </c>
      <c r="I363" s="17">
        <v>30</v>
      </c>
      <c r="J363" s="22">
        <v>30</v>
      </c>
    </row>
    <row r="364" spans="1:11" ht="25.5">
      <c r="A364" s="21" t="s">
        <v>309</v>
      </c>
      <c r="B364" s="14" t="s">
        <v>310</v>
      </c>
      <c r="C364" s="14"/>
      <c r="D364" s="14"/>
      <c r="E364" s="14"/>
      <c r="F364" s="15">
        <v>30</v>
      </c>
      <c r="G364" s="17">
        <f t="shared" si="6"/>
        <v>0</v>
      </c>
      <c r="H364" s="59">
        <v>30</v>
      </c>
      <c r="I364" s="15">
        <v>30</v>
      </c>
      <c r="J364" s="27">
        <v>30</v>
      </c>
    </row>
    <row r="365" spans="1:11">
      <c r="A365" s="9" t="s">
        <v>311</v>
      </c>
      <c r="B365" s="16" t="s">
        <v>312</v>
      </c>
      <c r="C365" s="16"/>
      <c r="D365" s="16"/>
      <c r="E365" s="16"/>
      <c r="F365" s="17">
        <v>30</v>
      </c>
      <c r="G365" s="17">
        <f t="shared" si="6"/>
        <v>0</v>
      </c>
      <c r="H365" s="61">
        <v>30</v>
      </c>
      <c r="I365" s="17">
        <v>30</v>
      </c>
      <c r="J365" s="22">
        <v>30</v>
      </c>
    </row>
    <row r="366" spans="1:11" ht="51">
      <c r="A366" s="10" t="s">
        <v>481</v>
      </c>
      <c r="B366" s="18" t="s">
        <v>312</v>
      </c>
      <c r="C366" s="18" t="s">
        <v>28</v>
      </c>
      <c r="D366" s="18" t="s">
        <v>26</v>
      </c>
      <c r="E366" s="18" t="s">
        <v>27</v>
      </c>
      <c r="F366" s="17">
        <v>30</v>
      </c>
      <c r="G366" s="17">
        <f t="shared" si="6"/>
        <v>0</v>
      </c>
      <c r="H366" s="61">
        <v>30</v>
      </c>
      <c r="I366" s="17">
        <v>30</v>
      </c>
      <c r="J366" s="22">
        <v>30</v>
      </c>
    </row>
    <row r="367" spans="1:11" ht="60.75" thickBot="1">
      <c r="A367" s="23" t="s">
        <v>313</v>
      </c>
      <c r="B367" s="24" t="s">
        <v>314</v>
      </c>
      <c r="C367" s="24"/>
      <c r="D367" s="24"/>
      <c r="E367" s="24"/>
      <c r="F367" s="11">
        <f>133113.24093+50</f>
        <v>133163.24093</v>
      </c>
      <c r="G367" s="17">
        <f t="shared" si="6"/>
        <v>245.14459999999963</v>
      </c>
      <c r="H367" s="55">
        <v>133408.38553</v>
      </c>
      <c r="I367" s="11">
        <v>73437.2</v>
      </c>
      <c r="J367" s="25">
        <v>110107.3</v>
      </c>
    </row>
    <row r="368" spans="1:11" ht="38.25">
      <c r="A368" s="20" t="s">
        <v>315</v>
      </c>
      <c r="B368" s="12" t="s">
        <v>316</v>
      </c>
      <c r="C368" s="12"/>
      <c r="D368" s="12"/>
      <c r="E368" s="12"/>
      <c r="F368" s="13">
        <f>133113.24093+50</f>
        <v>133163.24093</v>
      </c>
      <c r="G368" s="17">
        <f t="shared" si="6"/>
        <v>245.14459999999963</v>
      </c>
      <c r="H368" s="56">
        <v>133408.38553</v>
      </c>
      <c r="I368" s="13">
        <v>73437.2</v>
      </c>
      <c r="J368" s="26">
        <v>110107.3</v>
      </c>
    </row>
    <row r="369" spans="1:10" ht="38.25">
      <c r="A369" s="21" t="s">
        <v>317</v>
      </c>
      <c r="B369" s="14" t="s">
        <v>318</v>
      </c>
      <c r="C369" s="14"/>
      <c r="D369" s="14"/>
      <c r="E369" s="14"/>
      <c r="F369" s="15">
        <f>116130.9+50</f>
        <v>116180.9</v>
      </c>
      <c r="G369" s="17">
        <f t="shared" si="6"/>
        <v>0</v>
      </c>
      <c r="H369" s="59">
        <v>116180.9</v>
      </c>
      <c r="I369" s="15">
        <v>66351.199999999997</v>
      </c>
      <c r="J369" s="27">
        <v>102745.4</v>
      </c>
    </row>
    <row r="370" spans="1:10" ht="25.5">
      <c r="A370" s="10" t="s">
        <v>572</v>
      </c>
      <c r="B370" s="38" t="s">
        <v>596</v>
      </c>
      <c r="C370" s="38"/>
      <c r="D370" s="38"/>
      <c r="E370" s="38"/>
      <c r="F370" s="43">
        <v>50</v>
      </c>
      <c r="G370" s="17">
        <f t="shared" si="6"/>
        <v>0</v>
      </c>
      <c r="H370" s="61">
        <v>50</v>
      </c>
      <c r="I370" s="43">
        <v>0</v>
      </c>
      <c r="J370" s="44">
        <v>0</v>
      </c>
    </row>
    <row r="371" spans="1:10" ht="38.25">
      <c r="A371" s="10" t="s">
        <v>597</v>
      </c>
      <c r="B371" s="38" t="s">
        <v>596</v>
      </c>
      <c r="C371" s="38" t="s">
        <v>37</v>
      </c>
      <c r="D371" s="38" t="s">
        <v>241</v>
      </c>
      <c r="E371" s="38" t="s">
        <v>321</v>
      </c>
      <c r="F371" s="43">
        <v>50</v>
      </c>
      <c r="G371" s="17">
        <f t="shared" si="6"/>
        <v>0</v>
      </c>
      <c r="H371" s="61">
        <v>50</v>
      </c>
      <c r="I371" s="43">
        <v>0</v>
      </c>
      <c r="J371" s="44">
        <v>0</v>
      </c>
    </row>
    <row r="372" spans="1:10" ht="89.25">
      <c r="A372" s="9" t="s">
        <v>319</v>
      </c>
      <c r="B372" s="16" t="s">
        <v>320</v>
      </c>
      <c r="C372" s="16"/>
      <c r="D372" s="16"/>
      <c r="E372" s="16"/>
      <c r="F372" s="17">
        <v>14567</v>
      </c>
      <c r="G372" s="17">
        <f t="shared" si="6"/>
        <v>-177.01806000000033</v>
      </c>
      <c r="H372" s="61">
        <v>14389.98194</v>
      </c>
      <c r="I372" s="17">
        <v>26780</v>
      </c>
      <c r="J372" s="22">
        <v>27330</v>
      </c>
    </row>
    <row r="373" spans="1:10" ht="114.75">
      <c r="A373" s="10" t="s">
        <v>482</v>
      </c>
      <c r="B373" s="18" t="s">
        <v>320</v>
      </c>
      <c r="C373" s="18" t="s">
        <v>28</v>
      </c>
      <c r="D373" s="18" t="s">
        <v>241</v>
      </c>
      <c r="E373" s="18" t="s">
        <v>321</v>
      </c>
      <c r="F373" s="17">
        <v>14567</v>
      </c>
      <c r="G373" s="17">
        <f t="shared" si="6"/>
        <v>-10817.91719</v>
      </c>
      <c r="H373" s="61">
        <v>3749.0828099999999</v>
      </c>
      <c r="I373" s="17">
        <v>26780</v>
      </c>
      <c r="J373" s="22">
        <v>27330</v>
      </c>
    </row>
    <row r="374" spans="1:10" ht="89.25">
      <c r="A374" s="10" t="s">
        <v>319</v>
      </c>
      <c r="B374" s="62" t="s">
        <v>320</v>
      </c>
      <c r="C374" s="62" t="s">
        <v>37</v>
      </c>
      <c r="D374" s="62" t="s">
        <v>241</v>
      </c>
      <c r="E374" s="62" t="s">
        <v>321</v>
      </c>
      <c r="F374" s="17">
        <v>0</v>
      </c>
      <c r="G374" s="17">
        <f t="shared" si="6"/>
        <v>10640.89913</v>
      </c>
      <c r="H374" s="61">
        <v>10640.89913</v>
      </c>
      <c r="I374" s="17">
        <v>0</v>
      </c>
      <c r="J374" s="22">
        <v>0</v>
      </c>
    </row>
    <row r="375" spans="1:10" ht="127.5">
      <c r="A375" s="9" t="s">
        <v>322</v>
      </c>
      <c r="B375" s="16" t="s">
        <v>323</v>
      </c>
      <c r="C375" s="16"/>
      <c r="D375" s="16"/>
      <c r="E375" s="16"/>
      <c r="F375" s="17">
        <v>101563.9</v>
      </c>
      <c r="G375" s="17">
        <f t="shared" si="6"/>
        <v>177.01806000000215</v>
      </c>
      <c r="H375" s="61">
        <v>101740.91806</v>
      </c>
      <c r="I375" s="17">
        <v>39571.199999999997</v>
      </c>
      <c r="J375" s="22">
        <v>75415.399999999994</v>
      </c>
    </row>
    <row r="376" spans="1:10" ht="153">
      <c r="A376" s="10" t="s">
        <v>483</v>
      </c>
      <c r="B376" s="18" t="s">
        <v>323</v>
      </c>
      <c r="C376" s="18" t="s">
        <v>28</v>
      </c>
      <c r="D376" s="18" t="s">
        <v>241</v>
      </c>
      <c r="E376" s="18" t="s">
        <v>321</v>
      </c>
      <c r="F376" s="17">
        <v>101563.9</v>
      </c>
      <c r="G376" s="17">
        <f t="shared" si="6"/>
        <v>-101548.68565</v>
      </c>
      <c r="H376" s="61">
        <v>15.21435</v>
      </c>
      <c r="I376" s="17">
        <v>39571.199999999997</v>
      </c>
      <c r="J376" s="22">
        <v>75415.399999999994</v>
      </c>
    </row>
    <row r="377" spans="1:10" ht="127.5">
      <c r="A377" s="10" t="s">
        <v>322</v>
      </c>
      <c r="B377" s="62" t="s">
        <v>323</v>
      </c>
      <c r="C377" s="62" t="s">
        <v>37</v>
      </c>
      <c r="D377" s="62" t="s">
        <v>241</v>
      </c>
      <c r="E377" s="62" t="s">
        <v>321</v>
      </c>
      <c r="F377" s="17">
        <v>0</v>
      </c>
      <c r="G377" s="17">
        <f t="shared" si="6"/>
        <v>101725.70371</v>
      </c>
      <c r="H377" s="61">
        <v>101725.70371</v>
      </c>
      <c r="I377" s="17">
        <v>0</v>
      </c>
      <c r="J377" s="22"/>
    </row>
    <row r="378" spans="1:10" ht="38.25">
      <c r="A378" s="21" t="s">
        <v>324</v>
      </c>
      <c r="B378" s="14" t="s">
        <v>325</v>
      </c>
      <c r="C378" s="14"/>
      <c r="D378" s="14"/>
      <c r="E378" s="14"/>
      <c r="F378" s="15">
        <v>10000</v>
      </c>
      <c r="G378" s="17">
        <f t="shared" si="6"/>
        <v>0</v>
      </c>
      <c r="H378" s="59">
        <v>10000</v>
      </c>
      <c r="I378" s="15">
        <v>0</v>
      </c>
      <c r="J378" s="27">
        <v>0</v>
      </c>
    </row>
    <row r="379" spans="1:10" ht="102">
      <c r="A379" s="9" t="s">
        <v>326</v>
      </c>
      <c r="B379" s="16" t="s">
        <v>327</v>
      </c>
      <c r="C379" s="16"/>
      <c r="D379" s="16"/>
      <c r="E379" s="16"/>
      <c r="F379" s="17">
        <v>10000</v>
      </c>
      <c r="G379" s="17">
        <f t="shared" si="6"/>
        <v>0</v>
      </c>
      <c r="H379" s="61">
        <v>10000</v>
      </c>
      <c r="I379" s="17">
        <v>0</v>
      </c>
      <c r="J379" s="22">
        <v>0</v>
      </c>
    </row>
    <row r="380" spans="1:10" ht="102">
      <c r="A380" s="10" t="s">
        <v>515</v>
      </c>
      <c r="B380" s="18" t="s">
        <v>327</v>
      </c>
      <c r="C380" s="18" t="s">
        <v>37</v>
      </c>
      <c r="D380" s="18" t="s">
        <v>241</v>
      </c>
      <c r="E380" s="18" t="s">
        <v>321</v>
      </c>
      <c r="F380" s="17">
        <v>10000</v>
      </c>
      <c r="G380" s="17">
        <f t="shared" si="6"/>
        <v>0</v>
      </c>
      <c r="H380" s="61">
        <v>10000</v>
      </c>
      <c r="I380" s="17">
        <v>0</v>
      </c>
      <c r="J380" s="22">
        <v>0</v>
      </c>
    </row>
    <row r="381" spans="1:10" ht="38.25">
      <c r="A381" s="21" t="s">
        <v>328</v>
      </c>
      <c r="B381" s="14" t="s">
        <v>329</v>
      </c>
      <c r="C381" s="14"/>
      <c r="D381" s="14"/>
      <c r="E381" s="14"/>
      <c r="F381" s="15">
        <f>6967.34093+15</f>
        <v>6982.3409300000003</v>
      </c>
      <c r="G381" s="17">
        <f t="shared" si="6"/>
        <v>245.14459999999963</v>
      </c>
      <c r="H381" s="59">
        <v>7227.4855299999999</v>
      </c>
      <c r="I381" s="15">
        <v>7086</v>
      </c>
      <c r="J381" s="27">
        <v>7361.9</v>
      </c>
    </row>
    <row r="382" spans="1:10" ht="102">
      <c r="A382" s="9" t="s">
        <v>330</v>
      </c>
      <c r="B382" s="16" t="s">
        <v>331</v>
      </c>
      <c r="C382" s="16"/>
      <c r="D382" s="16"/>
      <c r="E382" s="16"/>
      <c r="F382" s="17">
        <f>2.7009+15</f>
        <v>17.700900000000001</v>
      </c>
      <c r="G382" s="17">
        <f t="shared" si="6"/>
        <v>0.55509999999999948</v>
      </c>
      <c r="H382" s="61">
        <v>18.256</v>
      </c>
      <c r="I382" s="17">
        <v>0</v>
      </c>
      <c r="J382" s="22">
        <v>0</v>
      </c>
    </row>
    <row r="383" spans="1:10" ht="114.75">
      <c r="A383" s="10" t="s">
        <v>550</v>
      </c>
      <c r="B383" s="18" t="s">
        <v>331</v>
      </c>
      <c r="C383" s="18" t="s">
        <v>49</v>
      </c>
      <c r="D383" s="18" t="s">
        <v>241</v>
      </c>
      <c r="E383" s="18" t="s">
        <v>332</v>
      </c>
      <c r="F383" s="17">
        <f>2.7009+15</f>
        <v>17.700900000000001</v>
      </c>
      <c r="G383" s="17">
        <f t="shared" si="6"/>
        <v>0.55509999999999948</v>
      </c>
      <c r="H383" s="61">
        <v>18.256</v>
      </c>
      <c r="I383" s="17">
        <v>0</v>
      </c>
      <c r="J383" s="22">
        <v>0</v>
      </c>
    </row>
    <row r="384" spans="1:10" ht="63.75">
      <c r="A384" s="9" t="s">
        <v>333</v>
      </c>
      <c r="B384" s="16" t="s">
        <v>334</v>
      </c>
      <c r="C384" s="16"/>
      <c r="D384" s="16"/>
      <c r="E384" s="16"/>
      <c r="F384" s="17">
        <v>6964.6400299999996</v>
      </c>
      <c r="G384" s="17">
        <f t="shared" si="6"/>
        <v>244.58950000000004</v>
      </c>
      <c r="H384" s="61">
        <v>7209.2295299999996</v>
      </c>
      <c r="I384" s="17">
        <v>7086</v>
      </c>
      <c r="J384" s="22">
        <v>7361.9</v>
      </c>
    </row>
    <row r="385" spans="1:11" ht="89.25">
      <c r="A385" s="10" t="s">
        <v>484</v>
      </c>
      <c r="B385" s="18" t="s">
        <v>334</v>
      </c>
      <c r="C385" s="18" t="s">
        <v>28</v>
      </c>
      <c r="D385" s="18" t="s">
        <v>241</v>
      </c>
      <c r="E385" s="18" t="s">
        <v>332</v>
      </c>
      <c r="F385" s="17">
        <v>6814.1400299999996</v>
      </c>
      <c r="G385" s="17">
        <f t="shared" si="6"/>
        <v>244.58950000000004</v>
      </c>
      <c r="H385" s="61">
        <v>7058.7295299999996</v>
      </c>
      <c r="I385" s="17">
        <v>6929.5</v>
      </c>
      <c r="J385" s="22">
        <v>7199.2</v>
      </c>
    </row>
    <row r="386" spans="1:11" ht="76.5">
      <c r="A386" s="10" t="s">
        <v>516</v>
      </c>
      <c r="B386" s="18" t="s">
        <v>334</v>
      </c>
      <c r="C386" s="18" t="s">
        <v>37</v>
      </c>
      <c r="D386" s="18" t="s">
        <v>241</v>
      </c>
      <c r="E386" s="18" t="s">
        <v>332</v>
      </c>
      <c r="F386" s="17">
        <v>150.5</v>
      </c>
      <c r="G386" s="17">
        <f t="shared" si="6"/>
        <v>0</v>
      </c>
      <c r="H386" s="61">
        <v>150.5</v>
      </c>
      <c r="I386" s="17">
        <v>156.5</v>
      </c>
      <c r="J386" s="22">
        <v>162.69999999999999</v>
      </c>
    </row>
    <row r="387" spans="1:11" ht="60.75" thickBot="1">
      <c r="A387" s="23" t="s">
        <v>335</v>
      </c>
      <c r="B387" s="24" t="s">
        <v>336</v>
      </c>
      <c r="C387" s="24"/>
      <c r="D387" s="24"/>
      <c r="E387" s="24"/>
      <c r="F387" s="46">
        <f>64774.0166+800</f>
        <v>65574.016600000003</v>
      </c>
      <c r="G387" s="17">
        <f t="shared" si="6"/>
        <v>8568.0269799999951</v>
      </c>
      <c r="H387" s="55">
        <f>65574.04358+8568</f>
        <v>74142.043579999998</v>
      </c>
      <c r="I387" s="11">
        <v>17292.714960000001</v>
      </c>
      <c r="J387" s="25">
        <v>17521.560519999999</v>
      </c>
    </row>
    <row r="388" spans="1:11" ht="51">
      <c r="A388" s="21" t="s">
        <v>337</v>
      </c>
      <c r="B388" s="14" t="s">
        <v>338</v>
      </c>
      <c r="C388" s="14"/>
      <c r="D388" s="14"/>
      <c r="E388" s="14"/>
      <c r="F388" s="35">
        <f>7302.77+50</f>
        <v>7352.77</v>
      </c>
      <c r="G388" s="17">
        <f t="shared" si="6"/>
        <v>1306.9269800000002</v>
      </c>
      <c r="H388" s="59">
        <f>7324.29698+1335.4</f>
        <v>8659.6969800000006</v>
      </c>
      <c r="I388" s="15">
        <v>1611.9</v>
      </c>
      <c r="J388" s="27">
        <v>200</v>
      </c>
    </row>
    <row r="389" spans="1:11" ht="25.5">
      <c r="A389" s="45" t="s">
        <v>572</v>
      </c>
      <c r="B389" s="38" t="s">
        <v>598</v>
      </c>
      <c r="C389" s="53"/>
      <c r="D389" s="53"/>
      <c r="E389" s="53"/>
      <c r="F389" s="43">
        <v>50</v>
      </c>
      <c r="G389" s="17">
        <f t="shared" si="6"/>
        <v>0</v>
      </c>
      <c r="H389" s="61">
        <v>50</v>
      </c>
      <c r="I389" s="43">
        <v>0</v>
      </c>
      <c r="J389" s="44">
        <v>0</v>
      </c>
    </row>
    <row r="390" spans="1:11" ht="63.75">
      <c r="A390" s="45" t="s">
        <v>573</v>
      </c>
      <c r="B390" s="38" t="s">
        <v>598</v>
      </c>
      <c r="C390" s="38" t="s">
        <v>65</v>
      </c>
      <c r="D390" s="38" t="s">
        <v>339</v>
      </c>
      <c r="E390" s="38" t="s">
        <v>340</v>
      </c>
      <c r="F390" s="43">
        <v>50</v>
      </c>
      <c r="G390" s="17">
        <f t="shared" si="6"/>
        <v>0</v>
      </c>
      <c r="H390" s="61">
        <v>50</v>
      </c>
      <c r="I390" s="43">
        <v>0</v>
      </c>
      <c r="J390" s="44">
        <v>0</v>
      </c>
    </row>
    <row r="391" spans="1:11" ht="51">
      <c r="A391" s="9" t="s">
        <v>368</v>
      </c>
      <c r="B391" s="16" t="s">
        <v>364</v>
      </c>
      <c r="C391" s="16"/>
      <c r="D391" s="16"/>
      <c r="E391" s="16"/>
      <c r="F391" s="17">
        <f>1228.5+92.5</f>
        <v>1321</v>
      </c>
      <c r="G391" s="17">
        <f t="shared" si="6"/>
        <v>1306.9000000000001</v>
      </c>
      <c r="H391" s="61">
        <f>1292.5+1335.4</f>
        <v>2627.9</v>
      </c>
      <c r="I391" s="17">
        <v>500</v>
      </c>
      <c r="J391" s="22">
        <v>200</v>
      </c>
    </row>
    <row r="392" spans="1:11" ht="76.5">
      <c r="A392" s="10" t="s">
        <v>485</v>
      </c>
      <c r="B392" s="18" t="s">
        <v>364</v>
      </c>
      <c r="C392" s="18" t="s">
        <v>28</v>
      </c>
      <c r="D392" s="18" t="s">
        <v>339</v>
      </c>
      <c r="E392" s="18" t="s">
        <v>340</v>
      </c>
      <c r="F392" s="17">
        <f>28.5+92.5</f>
        <v>121</v>
      </c>
      <c r="G392" s="17">
        <f t="shared" si="6"/>
        <v>-28.5</v>
      </c>
      <c r="H392" s="61">
        <v>92.5</v>
      </c>
      <c r="I392" s="17">
        <v>0</v>
      </c>
      <c r="J392" s="22">
        <v>0</v>
      </c>
    </row>
    <row r="393" spans="1:11" ht="89.25">
      <c r="A393" s="10" t="s">
        <v>539</v>
      </c>
      <c r="B393" s="18" t="s">
        <v>364</v>
      </c>
      <c r="C393" s="18" t="s">
        <v>65</v>
      </c>
      <c r="D393" s="18" t="s">
        <v>339</v>
      </c>
      <c r="E393" s="18" t="s">
        <v>340</v>
      </c>
      <c r="F393" s="17">
        <v>1200</v>
      </c>
      <c r="G393" s="17">
        <f t="shared" si="6"/>
        <v>1335.4</v>
      </c>
      <c r="H393" s="61">
        <f>1200+1335.4</f>
        <v>2535.4</v>
      </c>
      <c r="I393" s="17">
        <v>500</v>
      </c>
      <c r="J393" s="22">
        <v>200</v>
      </c>
      <c r="K393" s="65">
        <v>1335.4</v>
      </c>
    </row>
    <row r="394" spans="1:11" ht="25.5">
      <c r="A394" s="9" t="s">
        <v>426</v>
      </c>
      <c r="B394" s="16" t="s">
        <v>372</v>
      </c>
      <c r="C394" s="16"/>
      <c r="D394" s="16"/>
      <c r="E394" s="16"/>
      <c r="F394" s="17">
        <v>4700</v>
      </c>
      <c r="G394" s="17">
        <f t="shared" si="6"/>
        <v>0</v>
      </c>
      <c r="H394" s="61">
        <v>4700</v>
      </c>
      <c r="I394" s="17">
        <v>0</v>
      </c>
      <c r="J394" s="22">
        <v>0</v>
      </c>
    </row>
    <row r="395" spans="1:11" ht="25.5">
      <c r="A395" s="10" t="s">
        <v>517</v>
      </c>
      <c r="B395" s="18" t="s">
        <v>372</v>
      </c>
      <c r="C395" s="18" t="s">
        <v>37</v>
      </c>
      <c r="D395" s="18" t="s">
        <v>339</v>
      </c>
      <c r="E395" s="18" t="s">
        <v>351</v>
      </c>
      <c r="F395" s="17">
        <v>4700</v>
      </c>
      <c r="G395" s="17">
        <f t="shared" si="6"/>
        <v>0</v>
      </c>
      <c r="H395" s="61">
        <v>4700</v>
      </c>
      <c r="I395" s="17">
        <v>0</v>
      </c>
      <c r="J395" s="22">
        <v>0</v>
      </c>
    </row>
    <row r="396" spans="1:11" ht="51">
      <c r="A396" s="9" t="s">
        <v>341</v>
      </c>
      <c r="B396" s="16" t="s">
        <v>342</v>
      </c>
      <c r="C396" s="16"/>
      <c r="D396" s="16"/>
      <c r="E396" s="16"/>
      <c r="F396" s="34">
        <f>1279.07+2.7</f>
        <v>1281.77</v>
      </c>
      <c r="G396" s="17">
        <f t="shared" si="6"/>
        <v>2.6980000000094151E-2</v>
      </c>
      <c r="H396" s="61">
        <v>1281.7969800000001</v>
      </c>
      <c r="I396" s="17">
        <v>1111.9000000000001</v>
      </c>
      <c r="J396" s="22">
        <v>0</v>
      </c>
    </row>
    <row r="397" spans="1:11" ht="63.75">
      <c r="A397" s="10" t="s">
        <v>518</v>
      </c>
      <c r="B397" s="18" t="s">
        <v>342</v>
      </c>
      <c r="C397" s="18" t="s">
        <v>37</v>
      </c>
      <c r="D397" s="18" t="s">
        <v>339</v>
      </c>
      <c r="E397" s="18" t="s">
        <v>340</v>
      </c>
      <c r="F397" s="17">
        <f>1279.07+2.7</f>
        <v>1281.77</v>
      </c>
      <c r="G397" s="17">
        <f t="shared" si="6"/>
        <v>2.6980000000094151E-2</v>
      </c>
      <c r="H397" s="61">
        <v>1281.7969800000001</v>
      </c>
      <c r="I397" s="17">
        <v>1111.9000000000001</v>
      </c>
      <c r="J397" s="22">
        <v>0</v>
      </c>
    </row>
    <row r="398" spans="1:11" ht="51">
      <c r="A398" s="21" t="s">
        <v>343</v>
      </c>
      <c r="B398" s="14" t="s">
        <v>344</v>
      </c>
      <c r="C398" s="14"/>
      <c r="D398" s="14"/>
      <c r="E398" s="14"/>
      <c r="F398" s="15">
        <v>115.14660000000001</v>
      </c>
      <c r="G398" s="17">
        <f t="shared" si="6"/>
        <v>0</v>
      </c>
      <c r="H398" s="59">
        <v>115.14660000000001</v>
      </c>
      <c r="I398" s="15">
        <v>115.31496</v>
      </c>
      <c r="J398" s="27">
        <v>118.76052</v>
      </c>
    </row>
    <row r="399" spans="1:11" ht="25.5">
      <c r="A399" s="9" t="s">
        <v>345</v>
      </c>
      <c r="B399" s="16" t="s">
        <v>346</v>
      </c>
      <c r="C399" s="16"/>
      <c r="D399" s="16"/>
      <c r="E399" s="16"/>
      <c r="F399" s="17">
        <v>115.14660000000001</v>
      </c>
      <c r="G399" s="17">
        <f t="shared" si="6"/>
        <v>0</v>
      </c>
      <c r="H399" s="61">
        <v>115.14660000000001</v>
      </c>
      <c r="I399" s="17">
        <v>115.31496</v>
      </c>
      <c r="J399" s="22">
        <v>118.76052</v>
      </c>
    </row>
    <row r="400" spans="1:11" ht="51">
      <c r="A400" s="10" t="s">
        <v>486</v>
      </c>
      <c r="B400" s="18" t="s">
        <v>346</v>
      </c>
      <c r="C400" s="18" t="s">
        <v>28</v>
      </c>
      <c r="D400" s="18" t="s">
        <v>339</v>
      </c>
      <c r="E400" s="18" t="s">
        <v>340</v>
      </c>
      <c r="F400" s="17">
        <v>115.14660000000001</v>
      </c>
      <c r="G400" s="17">
        <f t="shared" si="6"/>
        <v>0</v>
      </c>
      <c r="H400" s="61">
        <v>115.14660000000001</v>
      </c>
      <c r="I400" s="17">
        <v>115.31496</v>
      </c>
      <c r="J400" s="22">
        <v>118.76052</v>
      </c>
    </row>
    <row r="401" spans="1:11" ht="38.25">
      <c r="A401" s="21" t="s">
        <v>347</v>
      </c>
      <c r="B401" s="14" t="s">
        <v>348</v>
      </c>
      <c r="C401" s="14"/>
      <c r="D401" s="14"/>
      <c r="E401" s="14"/>
      <c r="F401" s="35">
        <f>57356.1+750</f>
        <v>58106.1</v>
      </c>
      <c r="G401" s="17">
        <f t="shared" si="6"/>
        <v>7261.0999999999985</v>
      </c>
      <c r="H401" s="59">
        <f>58134.6+7232.6</f>
        <v>65367.199999999997</v>
      </c>
      <c r="I401" s="15">
        <v>15565.5</v>
      </c>
      <c r="J401" s="27">
        <v>17202.8</v>
      </c>
    </row>
    <row r="402" spans="1:11" ht="89.25">
      <c r="A402" s="45" t="s">
        <v>600</v>
      </c>
      <c r="B402" s="38" t="s">
        <v>599</v>
      </c>
      <c r="C402" s="38"/>
      <c r="D402" s="38"/>
      <c r="E402" s="38"/>
      <c r="F402" s="43">
        <v>750</v>
      </c>
      <c r="G402" s="34">
        <f t="shared" si="6"/>
        <v>0</v>
      </c>
      <c r="H402" s="61">
        <v>750</v>
      </c>
      <c r="I402" s="43">
        <v>0</v>
      </c>
      <c r="J402" s="44">
        <v>0</v>
      </c>
    </row>
    <row r="403" spans="1:11" ht="114.75">
      <c r="A403" s="45" t="s">
        <v>601</v>
      </c>
      <c r="B403" s="38" t="s">
        <v>599</v>
      </c>
      <c r="C403" s="38" t="s">
        <v>28</v>
      </c>
      <c r="D403" s="38" t="s">
        <v>339</v>
      </c>
      <c r="E403" s="38" t="s">
        <v>340</v>
      </c>
      <c r="F403" s="43">
        <v>750</v>
      </c>
      <c r="G403" s="34">
        <f t="shared" si="6"/>
        <v>0</v>
      </c>
      <c r="H403" s="61">
        <v>750</v>
      </c>
      <c r="I403" s="43">
        <v>0</v>
      </c>
      <c r="J403" s="44">
        <v>0</v>
      </c>
    </row>
    <row r="404" spans="1:11" ht="63.75">
      <c r="A404" s="9" t="s">
        <v>349</v>
      </c>
      <c r="B404" s="16" t="s">
        <v>350</v>
      </c>
      <c r="C404" s="16"/>
      <c r="D404" s="16"/>
      <c r="E404" s="16"/>
      <c r="F404" s="34">
        <f>56964.9+391.2</f>
        <v>57356.1</v>
      </c>
      <c r="G404" s="17">
        <f t="shared" si="6"/>
        <v>7261.0999999999985</v>
      </c>
      <c r="H404" s="61">
        <f>57384.6+7232.6</f>
        <v>64617.2</v>
      </c>
      <c r="I404" s="17">
        <v>15565.5</v>
      </c>
      <c r="J404" s="22">
        <v>17202.8</v>
      </c>
    </row>
    <row r="405" spans="1:11" ht="140.25">
      <c r="A405" s="10" t="s">
        <v>446</v>
      </c>
      <c r="B405" s="18" t="s">
        <v>350</v>
      </c>
      <c r="C405" s="18" t="s">
        <v>25</v>
      </c>
      <c r="D405" s="18" t="s">
        <v>339</v>
      </c>
      <c r="E405" s="18" t="s">
        <v>340</v>
      </c>
      <c r="F405" s="17">
        <v>12050.8</v>
      </c>
      <c r="G405" s="17">
        <f t="shared" ref="G405:G407" si="7">SUM(H405-F405)</f>
        <v>1190.3999999999996</v>
      </c>
      <c r="H405" s="61">
        <f>12050.8+1190.4</f>
        <v>13241.199999999999</v>
      </c>
      <c r="I405" s="17">
        <v>13800.1</v>
      </c>
      <c r="J405" s="22">
        <v>14972.9</v>
      </c>
      <c r="K405" s="65">
        <v>1190.4000000000001</v>
      </c>
    </row>
    <row r="406" spans="1:11" ht="89.25">
      <c r="A406" s="10" t="s">
        <v>487</v>
      </c>
      <c r="B406" s="18" t="s">
        <v>350</v>
      </c>
      <c r="C406" s="18" t="s">
        <v>28</v>
      </c>
      <c r="D406" s="18" t="s">
        <v>339</v>
      </c>
      <c r="E406" s="18" t="s">
        <v>340</v>
      </c>
      <c r="F406" s="17">
        <v>540.20000000000005</v>
      </c>
      <c r="G406" s="17">
        <f t="shared" si="7"/>
        <v>2123.5</v>
      </c>
      <c r="H406" s="61">
        <f>568.7+2095</f>
        <v>2663.7</v>
      </c>
      <c r="I406" s="17">
        <v>579.5</v>
      </c>
      <c r="J406" s="22">
        <v>779.6</v>
      </c>
      <c r="K406" s="65">
        <v>2095</v>
      </c>
    </row>
    <row r="407" spans="1:11" ht="102">
      <c r="A407" s="10" t="s">
        <v>540</v>
      </c>
      <c r="B407" s="18" t="s">
        <v>350</v>
      </c>
      <c r="C407" s="18" t="s">
        <v>65</v>
      </c>
      <c r="D407" s="18" t="s">
        <v>339</v>
      </c>
      <c r="E407" s="18" t="s">
        <v>340</v>
      </c>
      <c r="F407" s="17">
        <f>44373.9+391.2</f>
        <v>44765.1</v>
      </c>
      <c r="G407" s="17">
        <f t="shared" si="7"/>
        <v>3947.1999999999971</v>
      </c>
      <c r="H407" s="61">
        <f>44765.1+3947.2</f>
        <v>48712.299999999996</v>
      </c>
      <c r="I407" s="17">
        <v>1185.9000000000001</v>
      </c>
      <c r="J407" s="22">
        <v>1450.3</v>
      </c>
      <c r="K407" s="65">
        <v>3947.2</v>
      </c>
    </row>
    <row r="408" spans="1:11" ht="15.75" thickBot="1">
      <c r="A408" s="28"/>
      <c r="B408" s="19"/>
      <c r="C408" s="19"/>
      <c r="D408" s="19"/>
      <c r="E408" s="19"/>
      <c r="F408" s="19"/>
      <c r="G408" s="19"/>
      <c r="H408" s="63"/>
      <c r="I408" s="19"/>
      <c r="J408" s="29"/>
    </row>
    <row r="409" spans="1:11" ht="15.75" thickBot="1">
      <c r="A409" s="30" t="s">
        <v>352</v>
      </c>
      <c r="B409" s="31"/>
      <c r="C409" s="31"/>
      <c r="D409" s="31"/>
      <c r="E409" s="31"/>
      <c r="F409" s="32">
        <f>SUM(F7+F68+F211+F241+F251+F289+F330+F335+F357+F367+F387)</f>
        <v>1671533.35011</v>
      </c>
      <c r="G409" s="32">
        <f>SUM(H409-F409)-0.1</f>
        <v>75372.3652300002</v>
      </c>
      <c r="H409" s="32">
        <f>SUM(H7+H68+H211+H241+H251+H289+H330+H335+H357+H367+H387)</f>
        <v>1746905.8153400002</v>
      </c>
      <c r="I409" s="32">
        <v>873253.7966</v>
      </c>
      <c r="J409" s="33">
        <v>873830.75503999996</v>
      </c>
    </row>
    <row r="411" spans="1:11">
      <c r="F411" s="49"/>
      <c r="G411" s="49"/>
      <c r="H411" s="49"/>
      <c r="I411" s="49"/>
      <c r="J411" s="49"/>
    </row>
    <row r="413" spans="1:11">
      <c r="F413" s="49"/>
      <c r="G413" s="49"/>
      <c r="H413" s="49"/>
      <c r="I413" s="49"/>
      <c r="J413" s="49"/>
    </row>
  </sheetData>
  <autoFilter ref="E1:E413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48" right="0.16" top="0.74803149606299213" bottom="0.74803149606299213" header="0.31496062992125984" footer="0.31496062992125984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buh2</cp:lastModifiedBy>
  <cp:lastPrinted>2024-11-27T11:03:01Z</cp:lastPrinted>
  <dcterms:created xsi:type="dcterms:W3CDTF">2023-04-11T14:45:19Z</dcterms:created>
  <dcterms:modified xsi:type="dcterms:W3CDTF">2024-12-03T14:03:55Z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