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Документ!$A$3:$J$350</definedName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H26" i="2"/>
  <c r="H27"/>
  <c r="H8" l="1"/>
  <c r="H334"/>
  <c r="H348" l="1"/>
  <c r="H345"/>
  <c r="H344"/>
  <c r="H337"/>
  <c r="H336"/>
  <c r="H335"/>
  <c r="H330"/>
  <c r="H329"/>
  <c r="H328"/>
  <c r="H317"/>
  <c r="H316"/>
  <c r="H303"/>
  <c r="H302"/>
  <c r="H301"/>
  <c r="H293"/>
  <c r="H287" l="1"/>
  <c r="H285"/>
  <c r="H284"/>
  <c r="H283"/>
  <c r="H282"/>
  <c r="H281"/>
  <c r="H279"/>
  <c r="H278"/>
  <c r="H277"/>
  <c r="H276"/>
  <c r="H269"/>
  <c r="H270"/>
  <c r="K270"/>
  <c r="H268"/>
  <c r="H267"/>
  <c r="H253"/>
  <c r="H260"/>
  <c r="G266" l="1"/>
  <c r="G265"/>
  <c r="H257"/>
  <c r="H248"/>
  <c r="H211"/>
  <c r="H213"/>
  <c r="H212"/>
  <c r="H241" l="1"/>
  <c r="H221"/>
  <c r="H222"/>
  <c r="H214"/>
  <c r="H215"/>
  <c r="H238" l="1"/>
  <c r="H242" l="1"/>
  <c r="H243"/>
  <c r="H245"/>
  <c r="H246"/>
  <c r="H231"/>
  <c r="H237"/>
  <c r="H236"/>
  <c r="H233"/>
  <c r="H234"/>
  <c r="H232"/>
  <c r="H216"/>
  <c r="H223"/>
  <c r="H224"/>
  <c r="G210"/>
  <c r="G209"/>
  <c r="H202"/>
  <c r="H201"/>
  <c r="H55"/>
  <c r="H178"/>
  <c r="H177"/>
  <c r="H174"/>
  <c r="H167"/>
  <c r="H166"/>
  <c r="H165"/>
  <c r="H160"/>
  <c r="H161"/>
  <c r="H162"/>
  <c r="H163"/>
  <c r="H137"/>
  <c r="H141"/>
  <c r="H138"/>
  <c r="H134"/>
  <c r="H133"/>
  <c r="H96"/>
  <c r="H99"/>
  <c r="H97"/>
  <c r="H86"/>
  <c r="H66"/>
  <c r="H76"/>
  <c r="H77"/>
  <c r="H81"/>
  <c r="H82"/>
  <c r="H75"/>
  <c r="H67"/>
  <c r="H53" l="1"/>
  <c r="H54"/>
  <c r="H50"/>
  <c r="H49"/>
  <c r="H46"/>
  <c r="H45"/>
  <c r="H44"/>
  <c r="H40"/>
  <c r="H41"/>
  <c r="H39"/>
  <c r="H33"/>
  <c r="H34"/>
  <c r="H35"/>
  <c r="G36"/>
  <c r="G37" l="1"/>
  <c r="G38"/>
  <c r="H30"/>
  <c r="H32"/>
  <c r="H31"/>
  <c r="H10"/>
  <c r="H9"/>
  <c r="H11"/>
  <c r="H21"/>
  <c r="H20"/>
  <c r="H17"/>
  <c r="H18"/>
  <c r="J350"/>
  <c r="I350"/>
  <c r="H350" l="1"/>
  <c r="F350"/>
  <c r="G301"/>
  <c r="G284"/>
  <c r="G281"/>
  <c r="G277"/>
  <c r="G273"/>
  <c r="G276"/>
  <c r="G193"/>
  <c r="G133"/>
  <c r="G149"/>
  <c r="G148"/>
  <c r="G143"/>
  <c r="G134"/>
  <c r="G124"/>
  <c r="G120"/>
  <c r="G86"/>
  <c r="G67"/>
  <c r="G66"/>
  <c r="G61"/>
  <c r="G49"/>
  <c r="G50"/>
  <c r="G44"/>
  <c r="G39"/>
  <c r="G26"/>
  <c r="G27"/>
  <c r="G23"/>
  <c r="G10"/>
  <c r="G22"/>
  <c r="G21"/>
  <c r="G20"/>
  <c r="G19"/>
  <c r="G18"/>
  <c r="G17"/>
  <c r="G16"/>
  <c r="G15"/>
  <c r="G14"/>
  <c r="G13"/>
  <c r="G12"/>
  <c r="G11"/>
  <c r="G25"/>
  <c r="G24"/>
  <c r="G29"/>
  <c r="G28"/>
  <c r="G32"/>
  <c r="G31"/>
  <c r="G30"/>
  <c r="G35"/>
  <c r="G34"/>
  <c r="G33"/>
  <c r="G43"/>
  <c r="G42"/>
  <c r="G41"/>
  <c r="G40"/>
  <c r="G48"/>
  <c r="G47"/>
  <c r="G46"/>
  <c r="G45"/>
  <c r="G54"/>
  <c r="G53"/>
  <c r="G52"/>
  <c r="G51"/>
  <c r="G60"/>
  <c r="G59"/>
  <c r="G58"/>
  <c r="G65"/>
  <c r="G64"/>
  <c r="G63"/>
  <c r="G62"/>
  <c r="G68"/>
  <c r="G85"/>
  <c r="G84"/>
  <c r="G83"/>
  <c r="G82"/>
  <c r="G81"/>
  <c r="G80"/>
  <c r="G79"/>
  <c r="G78"/>
  <c r="G77"/>
  <c r="G76"/>
  <c r="G75"/>
  <c r="G74"/>
  <c r="G73"/>
  <c r="G72"/>
  <c r="G71"/>
  <c r="G70"/>
  <c r="G69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123"/>
  <c r="G122"/>
  <c r="G121"/>
  <c r="G132"/>
  <c r="G131"/>
  <c r="G130"/>
  <c r="G129"/>
  <c r="G128"/>
  <c r="G127"/>
  <c r="G126"/>
  <c r="G125"/>
  <c r="G142"/>
  <c r="G141"/>
  <c r="G140"/>
  <c r="G139"/>
  <c r="G138"/>
  <c r="G137"/>
  <c r="G136"/>
  <c r="G135"/>
  <c r="G147"/>
  <c r="G146"/>
  <c r="G145"/>
  <c r="G144"/>
  <c r="G152"/>
  <c r="G151"/>
  <c r="G150"/>
  <c r="G159"/>
  <c r="G158"/>
  <c r="G157"/>
  <c r="G156"/>
  <c r="G155"/>
  <c r="G154"/>
  <c r="G153"/>
  <c r="G161"/>
  <c r="G160"/>
  <c r="G164"/>
  <c r="G163"/>
  <c r="G162"/>
  <c r="G168"/>
  <c r="G167"/>
  <c r="G166"/>
  <c r="G165"/>
  <c r="G169"/>
  <c r="G170"/>
  <c r="G173"/>
  <c r="G172"/>
  <c r="G171"/>
  <c r="G174"/>
  <c r="G184"/>
  <c r="G183"/>
  <c r="G182"/>
  <c r="G181"/>
  <c r="G180"/>
  <c r="G179"/>
  <c r="G178"/>
  <c r="G177"/>
  <c r="G176"/>
  <c r="G175"/>
  <c r="G196"/>
  <c r="G195"/>
  <c r="G192"/>
  <c r="G191"/>
  <c r="G189"/>
  <c r="G188"/>
  <c r="G190"/>
  <c r="G194"/>
  <c r="G198"/>
  <c r="G197"/>
  <c r="G200"/>
  <c r="G199"/>
  <c r="G208"/>
  <c r="G207"/>
  <c r="G206"/>
  <c r="G205"/>
  <c r="G204"/>
  <c r="G215"/>
  <c r="G214"/>
  <c r="G216"/>
  <c r="G217"/>
  <c r="G220"/>
  <c r="G219"/>
  <c r="G218"/>
  <c r="G223"/>
  <c r="G222"/>
  <c r="G221"/>
  <c r="G226"/>
  <c r="G225"/>
  <c r="G224"/>
  <c r="G230"/>
  <c r="G229"/>
  <c r="G228"/>
  <c r="G227"/>
  <c r="G231"/>
  <c r="G232"/>
  <c r="G234"/>
  <c r="G233"/>
  <c r="G238"/>
  <c r="G241"/>
  <c r="G237"/>
  <c r="G236"/>
  <c r="G235"/>
  <c r="G240"/>
  <c r="G239"/>
  <c r="G243"/>
  <c r="G242"/>
  <c r="G247"/>
  <c r="G246"/>
  <c r="G245"/>
  <c r="G244"/>
  <c r="G252"/>
  <c r="G251"/>
  <c r="G260"/>
  <c r="G257"/>
  <c r="G254"/>
  <c r="G253"/>
  <c r="G256"/>
  <c r="G255"/>
  <c r="G259"/>
  <c r="G258"/>
  <c r="G261"/>
  <c r="G264"/>
  <c r="G263"/>
  <c r="G262"/>
  <c r="G267"/>
  <c r="G268"/>
  <c r="G269"/>
  <c r="G272"/>
  <c r="G271"/>
  <c r="G270"/>
  <c r="G275"/>
  <c r="G274"/>
  <c r="G278"/>
  <c r="G280"/>
  <c r="G279"/>
  <c r="G283"/>
  <c r="G282"/>
  <c r="G287"/>
  <c r="G286"/>
  <c r="G285"/>
  <c r="G292"/>
  <c r="G291"/>
  <c r="G296"/>
  <c r="G300"/>
  <c r="G299"/>
  <c r="G298"/>
  <c r="G297"/>
  <c r="G302"/>
  <c r="G305"/>
  <c r="G304"/>
  <c r="G303"/>
  <c r="G309"/>
  <c r="G308"/>
  <c r="G312"/>
  <c r="G311"/>
  <c r="G315"/>
  <c r="G314"/>
  <c r="G320"/>
  <c r="G319"/>
  <c r="G324"/>
  <c r="G323"/>
  <c r="G322"/>
  <c r="G321"/>
  <c r="G327"/>
  <c r="G326"/>
  <c r="G329"/>
  <c r="G333"/>
  <c r="G332"/>
  <c r="G331"/>
  <c r="G330"/>
  <c r="G340"/>
  <c r="G339"/>
  <c r="G338"/>
  <c r="G337"/>
  <c r="G336"/>
  <c r="G343"/>
  <c r="G342"/>
  <c r="G347"/>
  <c r="G346"/>
  <c r="G345"/>
  <c r="G348"/>
  <c r="G344"/>
  <c r="G341"/>
  <c r="G335"/>
  <c r="G334"/>
  <c r="G328"/>
  <c r="G325"/>
  <c r="G318"/>
  <c r="G317"/>
  <c r="G316"/>
  <c r="G313"/>
  <c r="G310"/>
  <c r="G307"/>
  <c r="G306"/>
  <c r="G295"/>
  <c r="G294"/>
  <c r="G293"/>
  <c r="G290"/>
  <c r="G289"/>
  <c r="G288"/>
  <c r="G250"/>
  <c r="G249"/>
  <c r="G248"/>
  <c r="G213"/>
  <c r="G212"/>
  <c r="G211"/>
  <c r="G203"/>
  <c r="G202"/>
  <c r="G201"/>
  <c r="G187"/>
  <c r="G186"/>
  <c r="G185"/>
  <c r="G57"/>
  <c r="G56"/>
  <c r="G55"/>
  <c r="G9"/>
  <c r="G8"/>
  <c r="G350" s="1"/>
</calcChain>
</file>

<file path=xl/sharedStrings.xml><?xml version="1.0" encoding="utf-8"?>
<sst xmlns="http://schemas.openxmlformats.org/spreadsheetml/2006/main" count="1183" uniqueCount="550">
  <si>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</si>
  <si>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</si>
  <si>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</si>
  <si>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</si>
  <si>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</si>
  <si>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</si>
  <si>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</si>
  <si>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</si>
  <si>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</si>
  <si>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</si>
  <si>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</si>
  <si>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</si>
  <si>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</si>
  <si>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</si>
  <si>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</si>
  <si>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</si>
  <si>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</si>
  <si>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2025 год</t>
  </si>
  <si>
    <t>Изменения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</si>
  <si>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27.12.2024 года № 56 « О районном бюджете на 2025 год  и на плановый период 2026 и 2027 годов»
  №    от "     27   "   мая    2025 г.  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</si>
  <si>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на 2025 год и плановый период 2026 и 2027 годов</t>
  </si>
  <si>
    <t>2027 год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</si>
  <si>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</si>
  <si>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</si>
  <si>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</si>
  <si>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</si>
  <si>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</si>
  <si>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</si>
  <si>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</si>
  <si>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</si>
  <si>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100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</si>
  <si>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</si>
  <si>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</si>
  <si>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</si>
  <si>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</si>
  <si>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</si>
  <si>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</si>
  <si>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200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</si>
  <si>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</si>
  <si>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</si>
  <si>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</si>
  <si>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</si>
  <si>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</si>
  <si>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</si>
  <si>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</si>
  <si>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</si>
  <si>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</si>
  <si>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</si>
  <si>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</si>
  <si>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</si>
  <si>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</si>
  <si>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</si>
  <si>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</si>
  <si>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</si>
  <si>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</si>
  <si>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</si>
  <si>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0130200000</t>
  </si>
  <si>
    <t>0130280010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</si>
  <si>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</si>
  <si>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</si>
  <si>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</si>
  <si>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</si>
  <si>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800</t>
  </si>
  <si>
    <t>Подпрограмм 4 "Развитие гражданского общества в Хохольском муниципальном районе"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</si>
  <si>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</si>
  <si>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</si>
  <si>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</si>
  <si>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Расходы на проведение социально значимых мероприятий</t>
  </si>
  <si>
    <t>0140170100</t>
  </si>
  <si>
    <t>600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</si>
  <si>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</si>
  <si>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</si>
  <si>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</si>
  <si>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</si>
  <si>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</si>
  <si>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</si>
  <si>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</si>
  <si>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</si>
  <si>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</si>
  <si>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</si>
  <si>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</si>
  <si>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</si>
  <si>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</si>
  <si>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</si>
  <si>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300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</si>
  <si>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</si>
  <si>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</si>
  <si>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</si>
  <si>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</si>
  <si>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</si>
  <si>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</si>
  <si>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</si>
  <si>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</si>
  <si>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</si>
  <si>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</si>
  <si>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Мероприятия по развитию сети дошкольных образовательных организаций Воронежской области</t>
  </si>
  <si>
    <t>02201S8300</t>
  </si>
  <si>
    <t>Основное мероприятие «Развитие общего образования»</t>
  </si>
  <si>
    <t>0220200000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</si>
  <si>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</si>
  <si>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0220270100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</si>
  <si>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</si>
  <si>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</si>
  <si>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</si>
  <si>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</si>
  <si>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</si>
  <si>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</si>
  <si>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</si>
  <si>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</si>
  <si>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</si>
  <si>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</si>
  <si>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Мероприятия по развитию сети общеобразовательных организаций Воронежской области</t>
  </si>
  <si>
    <t>02202S8810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</si>
  <si>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</si>
  <si>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</si>
  <si>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Реализация мероприятий областной адресной программы капитального ремонта</t>
  </si>
  <si>
    <t>02202S9620</t>
  </si>
  <si>
    <t>Расходы на капитальные вложений в объекты образования</t>
  </si>
  <si>
    <t>02202S9720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</si>
  <si>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</si>
  <si>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02202S9970</t>
  </si>
  <si>
    <t>Региональный проект "Все лучшее детям"</t>
  </si>
  <si>
    <t>022Ю400000</t>
  </si>
  <si>
    <t>Субсидии на реализацию мероприятий по модернизации школьных систем образования (однолетние объекты)</t>
  </si>
  <si>
    <t>022Ю457501</t>
  </si>
  <si>
    <t>Региональный проект "Педагоги и наставники"</t>
  </si>
  <si>
    <t>022Ю600000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</si>
  <si>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</si>
  <si>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022Ю650500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</si>
  <si>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</si>
  <si>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022Ю651790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</si>
  <si>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</si>
  <si>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022Ю653030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</si>
  <si>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</si>
  <si>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</si>
  <si>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</si>
  <si>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</si>
  <si>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</si>
  <si>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0230170100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</si>
  <si>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</si>
  <si>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</si>
  <si>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</si>
  <si>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</si>
  <si>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</si>
  <si>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</si>
  <si>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</si>
  <si>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</si>
  <si>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</si>
  <si>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</si>
  <si>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0240180100</t>
  </si>
  <si>
    <t>Основное мероприятие «Организация летнего отдыха детей»</t>
  </si>
  <si>
    <t>0240200000</t>
  </si>
  <si>
    <t>Подготовка молодежи к службе в ВС РФ</t>
  </si>
  <si>
    <t>0240280110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</si>
  <si>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</si>
  <si>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</si>
  <si>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 xml:space="preserve"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</si>
  <si>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</si>
  <si>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</si>
  <si>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</si>
  <si>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</si>
  <si>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</si>
  <si>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</si>
  <si>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</si>
  <si>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</si>
  <si>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</si>
  <si>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</si>
  <si>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</si>
  <si>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</si>
  <si>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</si>
  <si>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</si>
  <si>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</si>
  <si>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</si>
  <si>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</si>
  <si>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Основное мероприятие «Развитие и обеспечение деятельности учреждений физической культуры и спорта»</t>
  </si>
  <si>
    <t>0270200000</t>
  </si>
  <si>
    <t>0270270100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</si>
  <si>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</si>
  <si>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</si>
  <si>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</si>
  <si>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</si>
  <si>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Реализация мероприятий ОАП капитального ремонта по объектам физической культуры и спорта</t>
  </si>
  <si>
    <t>02702S9650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</si>
  <si>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</si>
  <si>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</si>
  <si>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</si>
  <si>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</si>
  <si>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</si>
  <si>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</si>
  <si>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Субсидии на реализацию мероприятий по обеспечению жильем молодых семей</t>
  </si>
  <si>
    <t>03101L4970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</si>
  <si>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</si>
  <si>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</si>
  <si>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</si>
  <si>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</si>
  <si>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</si>
  <si>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</si>
  <si>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</si>
  <si>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</si>
  <si>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</si>
  <si>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</si>
  <si>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</si>
  <si>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</si>
  <si>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</si>
  <si>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</si>
  <si>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</si>
  <si>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</si>
  <si>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</si>
  <si>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</si>
  <si>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</si>
  <si>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</si>
  <si>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</si>
  <si>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</si>
  <si>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</si>
  <si>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</si>
  <si>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04003S8140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</si>
  <si>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</si>
  <si>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</si>
  <si>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</si>
  <si>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</si>
  <si>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</si>
  <si>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</si>
  <si>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</si>
  <si>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</si>
  <si>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</si>
  <si>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</si>
  <si>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</si>
  <si>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</si>
  <si>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</si>
  <si>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</si>
  <si>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</si>
  <si>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</si>
  <si>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</si>
  <si>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</si>
  <si>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</si>
  <si>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</si>
  <si>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</si>
  <si>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</si>
  <si>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</si>
  <si>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</si>
  <si>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</si>
  <si>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</si>
  <si>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</si>
  <si>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</si>
  <si>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</si>
  <si>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</si>
  <si>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</si>
  <si>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</si>
  <si>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</si>
  <si>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</si>
  <si>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</si>
  <si>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</si>
  <si>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</si>
  <si>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0530280400</t>
  </si>
  <si>
    <t>Основное мероприятие "Финансовое обеспечение деятельности подведомственных учреждений"</t>
  </si>
  <si>
    <t>0530300000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</si>
  <si>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</si>
  <si>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0530390013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</si>
  <si>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</si>
  <si>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0530390015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</si>
  <si>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</si>
  <si>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</si>
  <si>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</si>
  <si>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</si>
  <si>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</si>
  <si>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</si>
  <si>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</si>
  <si>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</si>
  <si>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</si>
  <si>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</si>
  <si>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</si>
  <si>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</si>
  <si>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Обеспечение комплексного развития сельских территорий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</si>
  <si>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</si>
  <si>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</si>
  <si>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</si>
  <si>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Иные межбюджетные трансферты на содержание и обслуживание мест массового отдыха населения</t>
  </si>
  <si>
    <t>06202S8520</t>
  </si>
  <si>
    <t>0620400000</t>
  </si>
  <si>
    <t>0620470100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</si>
  <si>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</si>
  <si>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</si>
  <si>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</si>
  <si>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</si>
  <si>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</si>
  <si>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</si>
  <si>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</si>
  <si>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</si>
  <si>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</si>
  <si>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</si>
  <si>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</si>
  <si>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Ликвидация мест несанкционированного размещения отходов</t>
  </si>
  <si>
    <t>0630280050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</si>
  <si>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</si>
  <si>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</si>
  <si>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</si>
  <si>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</si>
  <si>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</si>
  <si>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</si>
  <si>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</si>
  <si>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</si>
  <si>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</si>
  <si>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</si>
  <si>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</si>
  <si>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</si>
  <si>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</si>
  <si>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</si>
  <si>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</si>
  <si>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</si>
  <si>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</si>
  <si>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</si>
  <si>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</si>
  <si>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</si>
  <si>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</si>
  <si>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</si>
  <si>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</si>
  <si>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</si>
  <si>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</si>
  <si>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</si>
  <si>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</si>
  <si>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</si>
  <si>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</si>
  <si>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</si>
  <si>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</si>
  <si>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</si>
  <si>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</si>
  <si>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</si>
  <si>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</si>
  <si>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</si>
  <si>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</si>
  <si>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</si>
  <si>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</si>
  <si>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</si>
  <si>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</si>
  <si>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</si>
  <si>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</si>
  <si>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</si>
  <si>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</si>
  <si>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</si>
  <si>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</si>
  <si>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</si>
  <si>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</si>
  <si>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</si>
  <si>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</si>
  <si>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</si>
  <si>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</si>
  <si>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</si>
  <si>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</si>
  <si>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</si>
  <si>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</si>
  <si>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</t>
  </si>
  <si>
    <t>101029Д130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</si>
  <si>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</si>
  <si>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</si>
  <si>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</si>
  <si>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</si>
  <si>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</si>
  <si>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</si>
  <si>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</si>
  <si>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</si>
  <si>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</si>
  <si>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</si>
  <si>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</si>
  <si>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</si>
  <si>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</si>
  <si>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</si>
  <si>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</si>
  <si>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1100180240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</si>
  <si>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</si>
  <si>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</si>
  <si>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</si>
  <si>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</si>
  <si>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</si>
  <si>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</si>
  <si>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</si>
  <si>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</si>
  <si>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</si>
  <si>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</si>
  <si>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Итого:</t>
  </si>
  <si>
    <t>01</t>
  </si>
  <si>
    <t>13</t>
  </si>
  <si>
    <t>04</t>
  </si>
  <si>
    <t>02</t>
  </si>
  <si>
    <t>06</t>
  </si>
  <si>
    <t>03</t>
  </si>
  <si>
    <t>11</t>
  </si>
  <si>
    <t>12</t>
  </si>
  <si>
    <t>05</t>
  </si>
  <si>
    <t>09</t>
  </si>
  <si>
    <t>08</t>
  </si>
  <si>
    <t>07</t>
  </si>
  <si>
    <t>14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</si>
  <si>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</si>
  <si>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</si>
  <si>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</si>
  <si>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</si>
  <si>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</si>
  <si>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</si>
  <si>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</si>
  <si>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</si>
  <si>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</si>
  <si>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</si>
  <si>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</si>
  <si>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</si>
  <si>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</si>
  <si>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</si>
  <si>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</si>
  <si>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</si>
  <si>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</si>
  <si>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</si>
  <si>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фондами)м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</si>
  <si>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</si>
  <si>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</si>
  <si>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</si>
  <si>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</si>
  <si>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</si>
  <si>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</si>
  <si>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</si>
  <si>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</si>
  <si>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</si>
  <si>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</si>
  <si>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</si>
  <si>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</si>
  <si>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</si>
  <si>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</si>
  <si>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</si>
  <si>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</si>
  <si>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</si>
  <si>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обеспечения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</si>
  <si>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</si>
  <si>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</si>
  <si>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обеспечения государственных (муниципальных) нужд)</t>
  </si>
  <si>
    <t>Расходы на организацию бесплатного питания обучающихся из многодетных семей в муниципальных образовательных организациях(Закупка товаров, работ и услуг для обеспечения государственных (муниципальных) нужд)</t>
  </si>
  <si>
    <t>Субсидии на реализацию мероприятий по модернизации школьных систем образования (однолетние объекты)(Закупка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</si>
  <si>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</si>
  <si>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</si>
  <si>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</si>
  <si>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Подготовка молодежи к службе в ВС РФ(Закупка товаров, работ и услуг для обеспечения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</si>
  <si>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</si>
  <si>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</si>
  <si>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</si>
  <si>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</si>
  <si>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Реализация мероприятий ОАП капитального ремонта по объектам физической культуры и спорта(Закупка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</si>
  <si>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</si>
  <si>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</si>
  <si>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</si>
  <si>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</si>
  <si>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</si>
  <si>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</si>
  <si>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</si>
  <si>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противодействие терроризму и эестремизму"(Закупка товаров, работ и услуг для обеспечения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</si>
  <si>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обеспечения государственных (муниципальных) нужд)</t>
  </si>
  <si>
    <t>Расходы на профилактику правонарушений(Закупка товаров, работ и услуг для обеспечения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</si>
  <si>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обеспечения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</si>
  <si>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</si>
  <si>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</si>
  <si>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</si>
  <si>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</si>
  <si>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</si>
  <si>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</si>
  <si>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</si>
  <si>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</si>
  <si>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</si>
  <si>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</si>
  <si>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</si>
  <si>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</si>
  <si>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</si>
  <si>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</si>
  <si>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</si>
  <si>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</si>
  <si>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</si>
  <si>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</si>
  <si>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</si>
  <si>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Расходы на уличное освещение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</si>
  <si>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</si>
  <si>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</si>
  <si>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</si>
  <si>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на содержание и обслуживание мест массового отдыха населения(Межбюджетные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</si>
  <si>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</si>
  <si>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</si>
  <si>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</si>
  <si>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Обеспечение комплексного развития сельских территорий(Межбюджетные трансферты)</t>
  </si>
  <si>
    <t>Расходы на проведение социально значимых мероприятий(Межбюджетные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</si>
  <si>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</si>
  <si>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</si>
  <si>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Расходы на мероприятия по развитию градостроительной деятельности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</si>
  <si>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</si>
  <si>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модернизацию уличного освещения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</si>
  <si>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</si>
  <si>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</si>
  <si>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</si>
  <si>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</si>
  <si>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</si>
  <si>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</si>
  <si>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Расходы на проведение социально значимых мероприятий "(Предоставление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</si>
  <si>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</si>
  <si>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</si>
  <si>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</si>
  <si>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</si>
  <si>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</si>
  <si>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</si>
  <si>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</si>
  <si>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</si>
  <si>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</si>
  <si>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</si>
  <si>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""(Предоставление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</si>
  <si>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</si>
  <si>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"(Предоставление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</si>
  <si>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образовательных организациях "(Предоставление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</si>
  <si>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(однолетние объекты)"(Предоставление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</si>
  <si>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организаций"(Предоставление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</si>
  <si>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</si>
  <si>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</si>
  <si>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</si>
  <si>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</si>
  <si>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</si>
  <si>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</si>
  <si>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</si>
  <si>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"(Предоставление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</si>
  <si>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</si>
  <si>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по объектам физической культуры и спорта 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</si>
  <si>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</si>
  <si>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</si>
  <si>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</si>
  <si>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</si>
  <si>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</si>
  <si>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</si>
  <si>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</si>
  <si>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</si>
  <si>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</si>
  <si>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</si>
  <si>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</si>
  <si>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</si>
  <si>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</si>
  <si>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</si>
  <si>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</si>
  <si>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с учетом изменений 2025г</t>
  </si>
  <si>
    <t>2026 год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</si>
  <si>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</si>
  <si>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</si>
  <si>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</si>
  <si>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0130480400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</si>
  <si>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</si>
  <si>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</si>
  <si>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53692,03875+3297,2</t>
  </si>
  <si>
    <t>0400380300</t>
  </si>
  <si>
    <t xml:space="preserve">Благоустройство сельских поселений </t>
  </si>
  <si>
    <t>Благоустройство сельских поселений (Межбюджетные трансферты)</t>
  </si>
  <si>
    <t>0620480630</t>
  </si>
  <si>
    <t>Основное мероприятие "Благоустройство территорий сельских поселений Хохольского муниципального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</si>
</sst>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11" fillId="0" borderId="31"/>
    <xf numFmtId="0" fontId="11" fillId="0" borderId="30"/>
    <xf numFmtId="0" fontId="11" fillId="0" borderId="32"/>
    <xf numFmtId="0" fontId="9" fillId="5" borderId="21"/>
    <xf numFmtId="0" fontId="9" fillId="5" borderId="22"/>
  </cellStyleXfs>
  <cellXfs count="63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13" applyNumberFormat="1" applyFont="1" applyProtection="1">
      <alignment horizontal="right" vertical="top" shrinkToFit="1"/>
    </xf>
    <xf numFmtId="164" fontId="9" fillId="2" borderId="14" xfId="14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164" fontId="11" fillId="0" borderId="20" xfId="26" applyNumberFormat="1" applyFon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11" fillId="0" borderId="19" xfId="28" applyNumberFormat="1" applyFont="1" applyProtection="1">
      <alignment horizontal="center" vertical="top" shrinkToFit="1"/>
    </xf>
    <xf numFmtId="0" fontId="11" fillId="0" borderId="31" xfId="52" applyNumberFormat="1" applyProtection="1"/>
    <xf numFmtId="0" fontId="11" fillId="0" borderId="30" xfId="53" applyNumberFormat="1" applyProtection="1"/>
    <xf numFmtId="0" fontId="9" fillId="5" borderId="21" xfId="55" applyNumberFormat="1" applyProtection="1"/>
    <xf numFmtId="0" fontId="9" fillId="5" borderId="22" xfId="56" applyNumberFormat="1" applyProtection="1"/>
    <xf numFmtId="164" fontId="9" fillId="5" borderId="22" xfId="29" applyNumberFormat="1" applyFont="1" applyProtection="1">
      <alignment horizontal="right" shrinkToFit="1"/>
    </xf>
    <xf numFmtId="0" fontId="11" fillId="0" borderId="30" xfId="53" applyNumberFormat="1" applyFont="1" applyProtection="1"/>
    <xf numFmtId="0" fontId="11" fillId="0" borderId="32" xfId="54" applyNumberFormat="1" applyFont="1" applyProtection="1"/>
    <xf numFmtId="164" fontId="9" fillId="6" borderId="22" xfId="25" applyNumberFormat="1" applyFont="1" applyFill="1" applyBorder="1" applyAlignment="1" applyProtection="1">
      <alignment horizontal="right" shrinkToFit="1"/>
    </xf>
    <xf numFmtId="164" fontId="9" fillId="6" borderId="23" xfId="26" applyNumberFormat="1" applyFont="1" applyFill="1" applyBorder="1" applyAlignment="1" applyProtection="1">
      <alignment horizontal="right" shrinkToFit="1"/>
    </xf>
    <xf numFmtId="0" fontId="5" fillId="0" borderId="18" xfId="49" applyNumberFormat="1" applyProtection="1">
      <alignment horizontal="left" vertical="top" wrapText="1"/>
    </xf>
    <xf numFmtId="0" fontId="12" fillId="0" borderId="18" xfId="49" applyNumberFormat="1" applyFont="1" applyProtection="1">
      <alignment horizontal="left" vertical="top" wrapText="1"/>
    </xf>
    <xf numFmtId="49" fontId="3" fillId="0" borderId="19" xfId="51" applyNumberFormat="1" applyFont="1" applyProtection="1">
      <alignment horizontal="center" vertical="top" shrinkToFit="1"/>
    </xf>
    <xf numFmtId="49" fontId="3" fillId="0" borderId="19" xfId="28" applyNumberFormat="1" applyFont="1" applyProtection="1">
      <alignment horizontal="center" vertical="top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2" fillId="0" borderId="19" xfId="51" applyNumberFormat="1" applyFont="1" applyProtection="1">
      <alignment horizontal="center" vertical="top" shrinkToFit="1"/>
    </xf>
    <xf numFmtId="164" fontId="4" fillId="7" borderId="13" xfId="13" applyNumberFormat="1" applyFont="1" applyFill="1" applyProtection="1">
      <alignment horizontal="right" vertical="top" shrinkToFit="1"/>
    </xf>
    <xf numFmtId="164" fontId="9" fillId="7" borderId="13" xfId="13" applyNumberFormat="1" applyFont="1" applyFill="1" applyProtection="1">
      <alignment horizontal="right" vertical="top" shrinkToFit="1"/>
    </xf>
  </cellXfs>
  <cellStyles count="57">
    <cellStyle name="br" xfId="33"/>
    <cellStyle name="col" xfId="32"/>
    <cellStyle name="ex58" xfId="36"/>
    <cellStyle name="ex59" xfId="37"/>
    <cellStyle name="ex60" xfId="11"/>
    <cellStyle name="ex61" xfId="12"/>
    <cellStyle name="ex62" xfId="38"/>
    <cellStyle name="ex63" xfId="39"/>
    <cellStyle name="ex64" xfId="15"/>
    <cellStyle name="ex65" xfId="16"/>
    <cellStyle name="ex66" xfId="40"/>
    <cellStyle name="ex67" xfId="41"/>
    <cellStyle name="ex68" xfId="19"/>
    <cellStyle name="ex69" xfId="20"/>
    <cellStyle name="ex70" xfId="42"/>
    <cellStyle name="ex71" xfId="43"/>
    <cellStyle name="ex72" xfId="23"/>
    <cellStyle name="ex73" xfId="24"/>
    <cellStyle name="ex74" xfId="44"/>
    <cellStyle name="ex75" xfId="45"/>
    <cellStyle name="ex76" xfId="27"/>
    <cellStyle name="ex77" xfId="28"/>
    <cellStyle name="ex78" xfId="46"/>
    <cellStyle name="ex79" xfId="47"/>
    <cellStyle name="ex80" xfId="48"/>
    <cellStyle name="ex84" xfId="49"/>
    <cellStyle name="ex85" xfId="51"/>
    <cellStyle name="ex88" xfId="50"/>
    <cellStyle name="st57" xfId="2"/>
    <cellStyle name="st80" xfId="29"/>
    <cellStyle name="st81" xfId="30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4"/>
    <cellStyle name="td" xfId="35"/>
    <cellStyle name="tr" xfId="31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56"/>
    <cellStyle name="xl_total_left" xfId="55"/>
    <cellStyle name="xl_total_top" xfId="53"/>
    <cellStyle name="xl_total_top_left" xfId="52"/>
    <cellStyle name="xl_total_top_right" xfId="5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0"/>
  <sheetViews>
    <sheetView showGridLines="0" tabSelected="1" zoomScale="90" zoomScaleNormal="90" workbookViewId="0">
      <pane ySplit="7" topLeftCell="A8" activePane="bottomLeft" state="frozen"/>
      <selection pane="bottomLeft" activeCell="H288" sqref="H288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0" style="1" hidden="1" customWidth="1"/>
    <col min="12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45" t="s">
        <v>19</v>
      </c>
      <c r="I1" s="45"/>
      <c r="J1" s="45"/>
    </row>
    <row r="2" spans="1:10" ht="58.5" customHeight="1">
      <c r="A2" s="46" t="s">
        <v>20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58.5" customHeight="1">
      <c r="A3" s="9"/>
      <c r="B3" s="9"/>
      <c r="C3" s="9"/>
      <c r="D3" s="9"/>
      <c r="E3" s="9"/>
      <c r="F3" s="9"/>
      <c r="G3" s="9"/>
      <c r="H3" s="9"/>
      <c r="I3" s="9"/>
      <c r="J3" s="9"/>
    </row>
    <row r="4" spans="1:10" ht="33" customHeight="1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5.2" customHeight="1">
      <c r="A5" s="49" t="s">
        <v>1</v>
      </c>
      <c r="B5" s="55" t="s">
        <v>2</v>
      </c>
      <c r="C5" s="51" t="s">
        <v>3</v>
      </c>
      <c r="D5" s="51" t="s">
        <v>4</v>
      </c>
      <c r="E5" s="51" t="s">
        <v>5</v>
      </c>
      <c r="F5" s="57" t="s">
        <v>6</v>
      </c>
      <c r="G5" s="58"/>
      <c r="H5" s="59"/>
      <c r="I5" s="53" t="s">
        <v>7</v>
      </c>
      <c r="J5" s="54"/>
    </row>
    <row r="6" spans="1:10" ht="38.25">
      <c r="A6" s="50"/>
      <c r="B6" s="56"/>
      <c r="C6" s="52"/>
      <c r="D6" s="52"/>
      <c r="E6" s="52"/>
      <c r="F6" s="2" t="s">
        <v>17</v>
      </c>
      <c r="G6" s="4" t="s">
        <v>18</v>
      </c>
      <c r="H6" s="2" t="s">
        <v>536</v>
      </c>
      <c r="I6" s="2" t="s">
        <v>537</v>
      </c>
      <c r="J6" s="3" t="s">
        <v>21</v>
      </c>
    </row>
    <row r="7" spans="1:10">
      <c r="A7" s="5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  <c r="G7" s="6"/>
      <c r="H7" s="6" t="s">
        <v>14</v>
      </c>
      <c r="I7" s="6" t="s">
        <v>15</v>
      </c>
      <c r="J7" s="7" t="s">
        <v>16</v>
      </c>
    </row>
    <row r="8" spans="1:10" ht="30.75" thickBot="1">
      <c r="A8" s="10" t="s">
        <v>22</v>
      </c>
      <c r="B8" s="11" t="s">
        <v>23</v>
      </c>
      <c r="C8" s="11"/>
      <c r="D8" s="11"/>
      <c r="E8" s="11"/>
      <c r="F8" s="12">
        <v>71446.3</v>
      </c>
      <c r="G8" s="12">
        <f>SUM(H8-F8)</f>
        <v>9407.4000000000233</v>
      </c>
      <c r="H8" s="12">
        <f>72216.6+130.3+62.1+6444.8+315.8+1769+60-144.9</f>
        <v>80853.700000000026</v>
      </c>
      <c r="I8" s="12">
        <v>64466</v>
      </c>
      <c r="J8" s="13">
        <v>65931.100000000006</v>
      </c>
    </row>
    <row r="9" spans="1:10" ht="63.75">
      <c r="A9" s="14" t="s">
        <v>24</v>
      </c>
      <c r="B9" s="15" t="s">
        <v>25</v>
      </c>
      <c r="C9" s="15"/>
      <c r="D9" s="15"/>
      <c r="E9" s="15"/>
      <c r="F9" s="16">
        <v>3845.2</v>
      </c>
      <c r="G9" s="16">
        <f>SUM(H9-F9)</f>
        <v>292.40000000000055</v>
      </c>
      <c r="H9" s="16">
        <f>3945.2+130.3+62.1</f>
        <v>4137.6000000000004</v>
      </c>
      <c r="I9" s="16">
        <v>1823</v>
      </c>
      <c r="J9" s="17">
        <v>1890</v>
      </c>
    </row>
    <row r="10" spans="1:10" ht="51">
      <c r="A10" s="18" t="s">
        <v>26</v>
      </c>
      <c r="B10" s="19" t="s">
        <v>27</v>
      </c>
      <c r="C10" s="19"/>
      <c r="D10" s="19"/>
      <c r="E10" s="19"/>
      <c r="F10" s="20">
        <v>3845.2</v>
      </c>
      <c r="G10" s="20">
        <f>SUM(H10-F10)</f>
        <v>192.40000000000009</v>
      </c>
      <c r="H10" s="20">
        <f>3845.2+130.3+62.1</f>
        <v>4037.6</v>
      </c>
      <c r="I10" s="20">
        <v>1823</v>
      </c>
      <c r="J10" s="21">
        <v>1890</v>
      </c>
    </row>
    <row r="11" spans="1:10" ht="56.25" customHeight="1">
      <c r="A11" s="22" t="s">
        <v>28</v>
      </c>
      <c r="B11" s="23" t="s">
        <v>29</v>
      </c>
      <c r="C11" s="23"/>
      <c r="D11" s="23"/>
      <c r="E11" s="23"/>
      <c r="F11" s="24">
        <v>597</v>
      </c>
      <c r="G11" s="24">
        <f t="shared" ref="G11:G22" si="0">SUM(H11-F11)</f>
        <v>0</v>
      </c>
      <c r="H11" s="24">
        <f>597</f>
        <v>597</v>
      </c>
      <c r="I11" s="24">
        <v>619</v>
      </c>
      <c r="J11" s="25">
        <v>641</v>
      </c>
    </row>
    <row r="12" spans="1:10" ht="127.5">
      <c r="A12" s="26" t="s">
        <v>392</v>
      </c>
      <c r="B12" s="27" t="s">
        <v>29</v>
      </c>
      <c r="C12" s="27" t="s">
        <v>30</v>
      </c>
      <c r="D12" s="27" t="s">
        <v>379</v>
      </c>
      <c r="E12" s="27" t="s">
        <v>380</v>
      </c>
      <c r="F12" s="24">
        <v>597</v>
      </c>
      <c r="G12" s="24">
        <f t="shared" si="0"/>
        <v>0</v>
      </c>
      <c r="H12" s="24">
        <v>597</v>
      </c>
      <c r="I12" s="24">
        <v>619</v>
      </c>
      <c r="J12" s="25">
        <v>641</v>
      </c>
    </row>
    <row r="13" spans="1:10" ht="127.5">
      <c r="A13" s="22" t="s">
        <v>31</v>
      </c>
      <c r="B13" s="23" t="s">
        <v>32</v>
      </c>
      <c r="C13" s="23"/>
      <c r="D13" s="23"/>
      <c r="E13" s="23"/>
      <c r="F13" s="24">
        <v>587</v>
      </c>
      <c r="G13" s="24">
        <f t="shared" si="0"/>
        <v>0</v>
      </c>
      <c r="H13" s="24">
        <v>587</v>
      </c>
      <c r="I13" s="24">
        <v>609</v>
      </c>
      <c r="J13" s="25">
        <v>631</v>
      </c>
    </row>
    <row r="14" spans="1:10" ht="204">
      <c r="A14" s="26" t="s">
        <v>393</v>
      </c>
      <c r="B14" s="27" t="s">
        <v>32</v>
      </c>
      <c r="C14" s="27" t="s">
        <v>30</v>
      </c>
      <c r="D14" s="27" t="s">
        <v>379</v>
      </c>
      <c r="E14" s="27" t="s">
        <v>380</v>
      </c>
      <c r="F14" s="24">
        <v>587</v>
      </c>
      <c r="G14" s="24">
        <f t="shared" si="0"/>
        <v>0</v>
      </c>
      <c r="H14" s="24">
        <v>587</v>
      </c>
      <c r="I14" s="24">
        <v>609</v>
      </c>
      <c r="J14" s="25">
        <v>631</v>
      </c>
    </row>
    <row r="15" spans="1:10" ht="102">
      <c r="A15" s="22" t="s">
        <v>33</v>
      </c>
      <c r="B15" s="23" t="s">
        <v>34</v>
      </c>
      <c r="C15" s="23"/>
      <c r="D15" s="23"/>
      <c r="E15" s="23"/>
      <c r="F15" s="24">
        <v>571</v>
      </c>
      <c r="G15" s="24">
        <f t="shared" si="0"/>
        <v>0</v>
      </c>
      <c r="H15" s="24">
        <v>571</v>
      </c>
      <c r="I15" s="24">
        <v>595</v>
      </c>
      <c r="J15" s="25">
        <v>618</v>
      </c>
    </row>
    <row r="16" spans="1:10" ht="178.5">
      <c r="A16" s="26" t="s">
        <v>394</v>
      </c>
      <c r="B16" s="27" t="s">
        <v>34</v>
      </c>
      <c r="C16" s="27" t="s">
        <v>30</v>
      </c>
      <c r="D16" s="27" t="s">
        <v>379</v>
      </c>
      <c r="E16" s="27" t="s">
        <v>380</v>
      </c>
      <c r="F16" s="24">
        <v>571</v>
      </c>
      <c r="G16" s="24">
        <f t="shared" si="0"/>
        <v>0</v>
      </c>
      <c r="H16" s="24">
        <v>571</v>
      </c>
      <c r="I16" s="24">
        <v>595</v>
      </c>
      <c r="J16" s="25">
        <v>618</v>
      </c>
    </row>
    <row r="17" spans="1:11" ht="63.75">
      <c r="A17" s="22" t="s">
        <v>35</v>
      </c>
      <c r="B17" s="23" t="s">
        <v>36</v>
      </c>
      <c r="C17" s="23"/>
      <c r="D17" s="23"/>
      <c r="E17" s="23"/>
      <c r="F17" s="24">
        <v>1402.5</v>
      </c>
      <c r="G17" s="24">
        <f t="shared" si="0"/>
        <v>130.29999999999995</v>
      </c>
      <c r="H17" s="24">
        <f>1402.5+130.3</f>
        <v>1532.8</v>
      </c>
      <c r="I17" s="24">
        <v>0</v>
      </c>
      <c r="J17" s="25">
        <v>0</v>
      </c>
    </row>
    <row r="18" spans="1:11" ht="153">
      <c r="A18" s="26" t="s">
        <v>395</v>
      </c>
      <c r="B18" s="27" t="s">
        <v>36</v>
      </c>
      <c r="C18" s="27" t="s">
        <v>30</v>
      </c>
      <c r="D18" s="27" t="s">
        <v>379</v>
      </c>
      <c r="E18" s="27" t="s">
        <v>381</v>
      </c>
      <c r="F18" s="24">
        <v>1292.5</v>
      </c>
      <c r="G18" s="24">
        <f t="shared" si="0"/>
        <v>130.29999999999995</v>
      </c>
      <c r="H18" s="24">
        <f>1292.5+130.3</f>
        <v>1422.8</v>
      </c>
      <c r="I18" s="24">
        <v>0</v>
      </c>
      <c r="J18" s="25">
        <v>0</v>
      </c>
      <c r="K18" s="1">
        <v>130.30000000000001</v>
      </c>
    </row>
    <row r="19" spans="1:11" ht="102">
      <c r="A19" s="26" t="s">
        <v>416</v>
      </c>
      <c r="B19" s="27" t="s">
        <v>36</v>
      </c>
      <c r="C19" s="27" t="s">
        <v>37</v>
      </c>
      <c r="D19" s="27" t="s">
        <v>379</v>
      </c>
      <c r="E19" s="27" t="s">
        <v>381</v>
      </c>
      <c r="F19" s="24">
        <v>110</v>
      </c>
      <c r="G19" s="24">
        <f t="shared" si="0"/>
        <v>0</v>
      </c>
      <c r="H19" s="24">
        <v>110</v>
      </c>
      <c r="I19" s="24">
        <v>0</v>
      </c>
      <c r="J19" s="25">
        <v>0</v>
      </c>
    </row>
    <row r="20" spans="1:11" ht="63.75">
      <c r="A20" s="22" t="s">
        <v>38</v>
      </c>
      <c r="B20" s="23" t="s">
        <v>39</v>
      </c>
      <c r="C20" s="23"/>
      <c r="D20" s="23"/>
      <c r="E20" s="23"/>
      <c r="F20" s="24">
        <v>687.7</v>
      </c>
      <c r="G20" s="24">
        <f t="shared" si="0"/>
        <v>62.100000000000023</v>
      </c>
      <c r="H20" s="24">
        <f>687.7+62.1</f>
        <v>749.80000000000007</v>
      </c>
      <c r="I20" s="24">
        <v>0</v>
      </c>
      <c r="J20" s="25">
        <v>0</v>
      </c>
    </row>
    <row r="21" spans="1:11" ht="140.25">
      <c r="A21" s="26" t="s">
        <v>396</v>
      </c>
      <c r="B21" s="27" t="s">
        <v>39</v>
      </c>
      <c r="C21" s="27" t="s">
        <v>30</v>
      </c>
      <c r="D21" s="27" t="s">
        <v>379</v>
      </c>
      <c r="E21" s="27" t="s">
        <v>381</v>
      </c>
      <c r="F21" s="24">
        <v>615.29999999999995</v>
      </c>
      <c r="G21" s="24">
        <f t="shared" si="0"/>
        <v>62.100000000000023</v>
      </c>
      <c r="H21" s="24">
        <f>615.3+62.1</f>
        <v>677.4</v>
      </c>
      <c r="I21" s="24">
        <v>0</v>
      </c>
      <c r="J21" s="25">
        <v>0</v>
      </c>
      <c r="K21" s="1">
        <v>62.1</v>
      </c>
    </row>
    <row r="22" spans="1:11" ht="89.25">
      <c r="A22" s="26" t="s">
        <v>417</v>
      </c>
      <c r="B22" s="27" t="s">
        <v>39</v>
      </c>
      <c r="C22" s="27" t="s">
        <v>37</v>
      </c>
      <c r="D22" s="27" t="s">
        <v>379</v>
      </c>
      <c r="E22" s="27" t="s">
        <v>381</v>
      </c>
      <c r="F22" s="24">
        <v>72.400000000000006</v>
      </c>
      <c r="G22" s="24">
        <f t="shared" si="0"/>
        <v>0</v>
      </c>
      <c r="H22" s="24">
        <v>72.400000000000006</v>
      </c>
      <c r="I22" s="24">
        <v>0</v>
      </c>
      <c r="J22" s="25">
        <v>0</v>
      </c>
    </row>
    <row r="23" spans="1:11" ht="38.25">
      <c r="A23" s="18" t="s">
        <v>40</v>
      </c>
      <c r="B23" s="19" t="s">
        <v>41</v>
      </c>
      <c r="C23" s="19"/>
      <c r="D23" s="19"/>
      <c r="E23" s="19"/>
      <c r="F23" s="20">
        <v>0</v>
      </c>
      <c r="G23" s="20">
        <f>SUM(H23-F23)</f>
        <v>100</v>
      </c>
      <c r="H23" s="20">
        <v>100</v>
      </c>
      <c r="I23" s="20">
        <v>0</v>
      </c>
      <c r="J23" s="21">
        <v>0</v>
      </c>
    </row>
    <row r="24" spans="1:11" ht="114.75">
      <c r="A24" s="22" t="s">
        <v>42</v>
      </c>
      <c r="B24" s="23" t="s">
        <v>43</v>
      </c>
      <c r="C24" s="23"/>
      <c r="D24" s="23"/>
      <c r="E24" s="23"/>
      <c r="F24" s="24">
        <v>0</v>
      </c>
      <c r="G24" s="24">
        <f t="shared" ref="G24:G25" si="1">SUM(H24-F24)</f>
        <v>100</v>
      </c>
      <c r="H24" s="24">
        <v>100</v>
      </c>
      <c r="I24" s="24">
        <v>0</v>
      </c>
      <c r="J24" s="25">
        <v>0</v>
      </c>
    </row>
    <row r="25" spans="1:11" ht="114.75">
      <c r="A25" s="26" t="s">
        <v>470</v>
      </c>
      <c r="B25" s="27" t="s">
        <v>43</v>
      </c>
      <c r="C25" s="27" t="s">
        <v>44</v>
      </c>
      <c r="D25" s="27" t="s">
        <v>391</v>
      </c>
      <c r="E25" s="27" t="s">
        <v>384</v>
      </c>
      <c r="F25" s="24">
        <v>0</v>
      </c>
      <c r="G25" s="24">
        <f t="shared" si="1"/>
        <v>100</v>
      </c>
      <c r="H25" s="24">
        <v>100</v>
      </c>
      <c r="I25" s="24">
        <v>0</v>
      </c>
      <c r="J25" s="25">
        <v>0</v>
      </c>
    </row>
    <row r="26" spans="1:11" ht="38.25">
      <c r="A26" s="14" t="s">
        <v>45</v>
      </c>
      <c r="B26" s="15" t="s">
        <v>46</v>
      </c>
      <c r="C26" s="15"/>
      <c r="D26" s="15"/>
      <c r="E26" s="15"/>
      <c r="F26" s="16">
        <v>65664.399999999994</v>
      </c>
      <c r="G26" s="16">
        <f>SUM(H26-F26)</f>
        <v>11541</v>
      </c>
      <c r="H26" s="16">
        <f>65894.7+6299.9+2926+315.8+1769</f>
        <v>77205.399999999994</v>
      </c>
      <c r="I26" s="16">
        <v>60537.3</v>
      </c>
      <c r="J26" s="17">
        <v>61851</v>
      </c>
    </row>
    <row r="27" spans="1:11" ht="63.75">
      <c r="A27" s="18" t="s">
        <v>47</v>
      </c>
      <c r="B27" s="19" t="s">
        <v>48</v>
      </c>
      <c r="C27" s="19"/>
      <c r="D27" s="19"/>
      <c r="E27" s="19"/>
      <c r="F27" s="20">
        <v>38310.6</v>
      </c>
      <c r="G27" s="20">
        <f>SUM(H27-F27)</f>
        <v>6530.2000000000044</v>
      </c>
      <c r="H27" s="20">
        <f>38540.9+6299.9</f>
        <v>44840.800000000003</v>
      </c>
      <c r="I27" s="20">
        <v>36205.800000000003</v>
      </c>
      <c r="J27" s="21">
        <v>36578.800000000003</v>
      </c>
    </row>
    <row r="28" spans="1:11" ht="76.5">
      <c r="A28" s="22" t="s">
        <v>49</v>
      </c>
      <c r="B28" s="23" t="s">
        <v>50</v>
      </c>
      <c r="C28" s="23"/>
      <c r="D28" s="23"/>
      <c r="E28" s="23"/>
      <c r="F28" s="24">
        <v>3000</v>
      </c>
      <c r="G28" s="24">
        <f t="shared" ref="G28:G29" si="2">SUM(H28-F28)</f>
        <v>0</v>
      </c>
      <c r="H28" s="24">
        <v>3000</v>
      </c>
      <c r="I28" s="24">
        <v>1000</v>
      </c>
      <c r="J28" s="25">
        <v>0</v>
      </c>
    </row>
    <row r="29" spans="1:11" ht="76.5">
      <c r="A29" s="26" t="s">
        <v>471</v>
      </c>
      <c r="B29" s="27" t="s">
        <v>50</v>
      </c>
      <c r="C29" s="27" t="s">
        <v>44</v>
      </c>
      <c r="D29" s="27" t="s">
        <v>379</v>
      </c>
      <c r="E29" s="27" t="s">
        <v>381</v>
      </c>
      <c r="F29" s="24">
        <v>3000</v>
      </c>
      <c r="G29" s="24">
        <f t="shared" si="2"/>
        <v>0</v>
      </c>
      <c r="H29" s="24">
        <v>3000</v>
      </c>
      <c r="I29" s="24">
        <v>1000</v>
      </c>
      <c r="J29" s="25">
        <v>0</v>
      </c>
    </row>
    <row r="30" spans="1:11" ht="102">
      <c r="A30" s="22" t="s">
        <v>51</v>
      </c>
      <c r="B30" s="23" t="s">
        <v>52</v>
      </c>
      <c r="C30" s="23"/>
      <c r="D30" s="23"/>
      <c r="E30" s="23"/>
      <c r="F30" s="24">
        <v>32091.599999999999</v>
      </c>
      <c r="G30" s="24">
        <f t="shared" ref="G30:G32" si="3">SUM(H30-F30)</f>
        <v>3202.2000000000044</v>
      </c>
      <c r="H30" s="24">
        <f>32241.9+2626.5+425.4</f>
        <v>35293.800000000003</v>
      </c>
      <c r="I30" s="24">
        <v>31039.200000000001</v>
      </c>
      <c r="J30" s="25">
        <v>32246.1</v>
      </c>
    </row>
    <row r="31" spans="1:11" ht="178.5">
      <c r="A31" s="26" t="s">
        <v>397</v>
      </c>
      <c r="B31" s="27" t="s">
        <v>52</v>
      </c>
      <c r="C31" s="27" t="s">
        <v>30</v>
      </c>
      <c r="D31" s="27" t="s">
        <v>379</v>
      </c>
      <c r="E31" s="27" t="s">
        <v>381</v>
      </c>
      <c r="F31" s="24">
        <v>28958.6</v>
      </c>
      <c r="G31" s="24">
        <f t="shared" si="3"/>
        <v>2666.5</v>
      </c>
      <c r="H31" s="24">
        <f>28998.6+2626.5</f>
        <v>31625.1</v>
      </c>
      <c r="I31" s="24">
        <v>29282.2</v>
      </c>
      <c r="J31" s="25">
        <v>30452.1</v>
      </c>
      <c r="K31" s="1">
        <v>2626.5</v>
      </c>
    </row>
    <row r="32" spans="1:11" ht="127.5">
      <c r="A32" s="26" t="s">
        <v>418</v>
      </c>
      <c r="B32" s="27" t="s">
        <v>52</v>
      </c>
      <c r="C32" s="27" t="s">
        <v>37</v>
      </c>
      <c r="D32" s="27" t="s">
        <v>379</v>
      </c>
      <c r="E32" s="27" t="s">
        <v>381</v>
      </c>
      <c r="F32" s="24">
        <v>3133</v>
      </c>
      <c r="G32" s="24">
        <f t="shared" si="3"/>
        <v>-5950.9</v>
      </c>
      <c r="H32" s="24">
        <f>-3243.3+425.4</f>
        <v>-2817.9</v>
      </c>
      <c r="I32" s="24">
        <v>1757</v>
      </c>
      <c r="J32" s="25">
        <v>1794</v>
      </c>
      <c r="K32" s="1">
        <v>425.4</v>
      </c>
    </row>
    <row r="33" spans="1:11" ht="89.25">
      <c r="A33" s="22" t="s">
        <v>53</v>
      </c>
      <c r="B33" s="23" t="s">
        <v>54</v>
      </c>
      <c r="C33" s="23"/>
      <c r="D33" s="23"/>
      <c r="E33" s="23"/>
      <c r="F33" s="24">
        <v>3219</v>
      </c>
      <c r="G33" s="24">
        <f t="shared" ref="G33:G36" si="4">SUM(H33-F33)</f>
        <v>402</v>
      </c>
      <c r="H33" s="24">
        <f>3299+322</f>
        <v>3621</v>
      </c>
      <c r="I33" s="24">
        <v>4166.6000000000004</v>
      </c>
      <c r="J33" s="25">
        <v>4332.7</v>
      </c>
    </row>
    <row r="34" spans="1:11" ht="178.5">
      <c r="A34" s="26" t="s">
        <v>398</v>
      </c>
      <c r="B34" s="27" t="s">
        <v>54</v>
      </c>
      <c r="C34" s="27" t="s">
        <v>30</v>
      </c>
      <c r="D34" s="27" t="s">
        <v>379</v>
      </c>
      <c r="E34" s="27" t="s">
        <v>382</v>
      </c>
      <c r="F34" s="24">
        <v>3219</v>
      </c>
      <c r="G34" s="24">
        <f t="shared" si="4"/>
        <v>322</v>
      </c>
      <c r="H34" s="41">
        <f>3219+322</f>
        <v>3541</v>
      </c>
      <c r="I34" s="24">
        <v>4166.6000000000004</v>
      </c>
      <c r="J34" s="25">
        <v>4332.7</v>
      </c>
      <c r="K34" s="1">
        <v>322</v>
      </c>
    </row>
    <row r="35" spans="1:11" ht="127.5">
      <c r="A35" s="26" t="s">
        <v>419</v>
      </c>
      <c r="B35" s="27" t="s">
        <v>54</v>
      </c>
      <c r="C35" s="27" t="s">
        <v>37</v>
      </c>
      <c r="D35" s="27" t="s">
        <v>379</v>
      </c>
      <c r="E35" s="27" t="s">
        <v>382</v>
      </c>
      <c r="F35" s="24">
        <v>0</v>
      </c>
      <c r="G35" s="24">
        <f t="shared" si="4"/>
        <v>80</v>
      </c>
      <c r="H35" s="24">
        <f>80</f>
        <v>80</v>
      </c>
      <c r="I35" s="24">
        <v>0</v>
      </c>
      <c r="J35" s="25">
        <v>0</v>
      </c>
    </row>
    <row r="36" spans="1:11" ht="51">
      <c r="A36" s="38" t="s">
        <v>542</v>
      </c>
      <c r="B36" s="39" t="s">
        <v>543</v>
      </c>
      <c r="C36" s="40"/>
      <c r="D36" s="40"/>
      <c r="E36" s="40"/>
      <c r="F36" s="24">
        <v>0</v>
      </c>
      <c r="G36" s="24">
        <f t="shared" si="4"/>
        <v>2926</v>
      </c>
      <c r="H36" s="24">
        <v>2926</v>
      </c>
      <c r="I36" s="24">
        <v>0</v>
      </c>
      <c r="J36" s="25">
        <v>0</v>
      </c>
    </row>
    <row r="37" spans="1:11" ht="76.5">
      <c r="A37" s="37" t="s">
        <v>539</v>
      </c>
      <c r="B37" s="27" t="s">
        <v>541</v>
      </c>
      <c r="C37" s="27"/>
      <c r="D37" s="27"/>
      <c r="E37" s="27"/>
      <c r="F37" s="24">
        <v>0</v>
      </c>
      <c r="G37" s="24">
        <f t="shared" ref="G37:G43" si="5">SUM(H37-F37)</f>
        <v>2926</v>
      </c>
      <c r="H37" s="24">
        <v>2926</v>
      </c>
      <c r="I37" s="24">
        <v>0</v>
      </c>
      <c r="J37" s="25">
        <v>0</v>
      </c>
    </row>
    <row r="38" spans="1:11" ht="89.25">
      <c r="A38" s="37" t="s">
        <v>540</v>
      </c>
      <c r="B38" s="27" t="s">
        <v>541</v>
      </c>
      <c r="C38" s="27" t="s">
        <v>44</v>
      </c>
      <c r="D38" s="27"/>
      <c r="E38" s="27"/>
      <c r="F38" s="24">
        <v>0</v>
      </c>
      <c r="G38" s="24">
        <f t="shared" si="5"/>
        <v>2926</v>
      </c>
      <c r="H38" s="24">
        <v>2926</v>
      </c>
      <c r="I38" s="24">
        <v>0</v>
      </c>
      <c r="J38" s="25">
        <v>0</v>
      </c>
    </row>
    <row r="39" spans="1:11" ht="89.25">
      <c r="A39" s="18" t="s">
        <v>55</v>
      </c>
      <c r="B39" s="19" t="s">
        <v>56</v>
      </c>
      <c r="C39" s="19"/>
      <c r="D39" s="19"/>
      <c r="E39" s="19"/>
      <c r="F39" s="20">
        <v>3184.1</v>
      </c>
      <c r="G39" s="20">
        <f>SUM(H39-F39)</f>
        <v>315.80000000000018</v>
      </c>
      <c r="H39" s="20">
        <f>3184.1+315.8</f>
        <v>3499.9</v>
      </c>
      <c r="I39" s="20">
        <v>3933.9</v>
      </c>
      <c r="J39" s="21">
        <v>4089.1</v>
      </c>
    </row>
    <row r="40" spans="1:11" ht="102">
      <c r="A40" s="22" t="s">
        <v>51</v>
      </c>
      <c r="B40" s="23" t="s">
        <v>57</v>
      </c>
      <c r="C40" s="23"/>
      <c r="D40" s="23"/>
      <c r="E40" s="23"/>
      <c r="F40" s="24">
        <v>3184.1</v>
      </c>
      <c r="G40" s="24">
        <f t="shared" si="5"/>
        <v>315.80000000000018</v>
      </c>
      <c r="H40" s="24">
        <f>3184.1+315.8</f>
        <v>3499.9</v>
      </c>
      <c r="I40" s="24">
        <v>3933.9</v>
      </c>
      <c r="J40" s="25">
        <v>4089.1</v>
      </c>
    </row>
    <row r="41" spans="1:11" ht="178.5">
      <c r="A41" s="26" t="s">
        <v>397</v>
      </c>
      <c r="B41" s="27" t="s">
        <v>57</v>
      </c>
      <c r="C41" s="27" t="s">
        <v>30</v>
      </c>
      <c r="D41" s="27" t="s">
        <v>379</v>
      </c>
      <c r="E41" s="27" t="s">
        <v>383</v>
      </c>
      <c r="F41" s="24">
        <v>2514.3000000000002</v>
      </c>
      <c r="G41" s="24">
        <f t="shared" si="5"/>
        <v>315.80000000000018</v>
      </c>
      <c r="H41" s="24">
        <f>2514.3+315.8</f>
        <v>2830.1000000000004</v>
      </c>
      <c r="I41" s="24">
        <v>3238.7</v>
      </c>
      <c r="J41" s="25">
        <v>3368.1</v>
      </c>
      <c r="K41" s="1">
        <v>315.8</v>
      </c>
    </row>
    <row r="42" spans="1:11" ht="178.5">
      <c r="A42" s="26" t="s">
        <v>397</v>
      </c>
      <c r="B42" s="27" t="s">
        <v>57</v>
      </c>
      <c r="C42" s="27" t="s">
        <v>30</v>
      </c>
      <c r="D42" s="27" t="s">
        <v>379</v>
      </c>
      <c r="E42" s="27" t="s">
        <v>384</v>
      </c>
      <c r="F42" s="24">
        <v>619.79999999999995</v>
      </c>
      <c r="G42" s="24">
        <f t="shared" si="5"/>
        <v>0</v>
      </c>
      <c r="H42" s="24">
        <v>619.79999999999995</v>
      </c>
      <c r="I42" s="24">
        <v>644.6</v>
      </c>
      <c r="J42" s="25">
        <v>670.4</v>
      </c>
    </row>
    <row r="43" spans="1:11" ht="127.5">
      <c r="A43" s="26" t="s">
        <v>420</v>
      </c>
      <c r="B43" s="27" t="s">
        <v>57</v>
      </c>
      <c r="C43" s="27" t="s">
        <v>37</v>
      </c>
      <c r="D43" s="27" t="s">
        <v>379</v>
      </c>
      <c r="E43" s="27" t="s">
        <v>383</v>
      </c>
      <c r="F43" s="24">
        <v>50</v>
      </c>
      <c r="G43" s="24">
        <f t="shared" si="5"/>
        <v>0</v>
      </c>
      <c r="H43" s="24">
        <v>50</v>
      </c>
      <c r="I43" s="24">
        <v>50.6</v>
      </c>
      <c r="J43" s="25">
        <v>50.6</v>
      </c>
    </row>
    <row r="44" spans="1:11" ht="51">
      <c r="A44" s="18" t="s">
        <v>58</v>
      </c>
      <c r="B44" s="19" t="s">
        <v>59</v>
      </c>
      <c r="C44" s="19"/>
      <c r="D44" s="19"/>
      <c r="E44" s="19"/>
      <c r="F44" s="20">
        <v>24169.7</v>
      </c>
      <c r="G44" s="20">
        <f>SUM(H44-F44)</f>
        <v>1769</v>
      </c>
      <c r="H44" s="42">
        <f>24169.7+1769</f>
        <v>25938.7</v>
      </c>
      <c r="I44" s="20">
        <v>20397.599999999999</v>
      </c>
      <c r="J44" s="21">
        <v>21183.1</v>
      </c>
    </row>
    <row r="45" spans="1:11" ht="76.5">
      <c r="A45" s="22" t="s">
        <v>60</v>
      </c>
      <c r="B45" s="23" t="s">
        <v>61</v>
      </c>
      <c r="C45" s="23"/>
      <c r="D45" s="23"/>
      <c r="E45" s="23"/>
      <c r="F45" s="24">
        <v>24169.7</v>
      </c>
      <c r="G45" s="24">
        <f t="shared" ref="G45:G48" si="6">SUM(H45-F45)</f>
        <v>1769</v>
      </c>
      <c r="H45" s="24">
        <f>24169.7+1769</f>
        <v>25938.7</v>
      </c>
      <c r="I45" s="24">
        <v>20397.599999999999</v>
      </c>
      <c r="J45" s="25">
        <v>21183.1</v>
      </c>
    </row>
    <row r="46" spans="1:11" ht="153">
      <c r="A46" s="26" t="s">
        <v>399</v>
      </c>
      <c r="B46" s="27" t="s">
        <v>61</v>
      </c>
      <c r="C46" s="27" t="s">
        <v>30</v>
      </c>
      <c r="D46" s="27" t="s">
        <v>379</v>
      </c>
      <c r="E46" s="27" t="s">
        <v>380</v>
      </c>
      <c r="F46" s="24">
        <v>17544.3</v>
      </c>
      <c r="G46" s="24">
        <f t="shared" si="6"/>
        <v>1769</v>
      </c>
      <c r="H46" s="24">
        <f>17544.3+1769</f>
        <v>19313.3</v>
      </c>
      <c r="I46" s="24">
        <v>18298.8</v>
      </c>
      <c r="J46" s="25">
        <v>19025.3</v>
      </c>
      <c r="K46" s="1">
        <v>1769</v>
      </c>
    </row>
    <row r="47" spans="1:11" ht="102">
      <c r="A47" s="26" t="s">
        <v>421</v>
      </c>
      <c r="B47" s="27" t="s">
        <v>61</v>
      </c>
      <c r="C47" s="27" t="s">
        <v>37</v>
      </c>
      <c r="D47" s="27" t="s">
        <v>379</v>
      </c>
      <c r="E47" s="27" t="s">
        <v>380</v>
      </c>
      <c r="F47" s="24">
        <v>6537.4</v>
      </c>
      <c r="G47" s="24">
        <f t="shared" si="6"/>
        <v>0</v>
      </c>
      <c r="H47" s="24">
        <v>6537.4</v>
      </c>
      <c r="I47" s="24">
        <v>2014.8</v>
      </c>
      <c r="J47" s="25">
        <v>2077.8000000000002</v>
      </c>
    </row>
    <row r="48" spans="1:11" ht="89.25">
      <c r="A48" s="26" t="s">
        <v>527</v>
      </c>
      <c r="B48" s="27" t="s">
        <v>61</v>
      </c>
      <c r="C48" s="27" t="s">
        <v>62</v>
      </c>
      <c r="D48" s="27" t="s">
        <v>379</v>
      </c>
      <c r="E48" s="27" t="s">
        <v>380</v>
      </c>
      <c r="F48" s="24">
        <v>88</v>
      </c>
      <c r="G48" s="24">
        <f t="shared" si="6"/>
        <v>0</v>
      </c>
      <c r="H48" s="24">
        <v>88</v>
      </c>
      <c r="I48" s="24">
        <v>84</v>
      </c>
      <c r="J48" s="25">
        <v>80</v>
      </c>
    </row>
    <row r="49" spans="1:11" ht="38.25">
      <c r="A49" s="14" t="s">
        <v>63</v>
      </c>
      <c r="B49" s="15" t="s">
        <v>64</v>
      </c>
      <c r="C49" s="15"/>
      <c r="D49" s="15"/>
      <c r="E49" s="15"/>
      <c r="F49" s="16">
        <v>1936.7</v>
      </c>
      <c r="G49" s="16">
        <f>SUM(H49-F49)</f>
        <v>499.99999999999977</v>
      </c>
      <c r="H49" s="16">
        <f>2376.7+60</f>
        <v>2436.6999999999998</v>
      </c>
      <c r="I49" s="16">
        <v>2105.6999999999998</v>
      </c>
      <c r="J49" s="17">
        <v>2190.1</v>
      </c>
    </row>
    <row r="50" spans="1:11" ht="89.25">
      <c r="A50" s="18" t="s">
        <v>65</v>
      </c>
      <c r="B50" s="19" t="s">
        <v>66</v>
      </c>
      <c r="C50" s="19"/>
      <c r="D50" s="19"/>
      <c r="E50" s="19"/>
      <c r="F50" s="20">
        <v>1936.7</v>
      </c>
      <c r="G50" s="20">
        <f>SUM(H50-F50)</f>
        <v>499.99999999999977</v>
      </c>
      <c r="H50" s="20">
        <f>2376.7+60</f>
        <v>2436.6999999999998</v>
      </c>
      <c r="I50" s="20">
        <v>2105.6999999999998</v>
      </c>
      <c r="J50" s="21">
        <v>2190.1</v>
      </c>
    </row>
    <row r="51" spans="1:11" ht="25.5">
      <c r="A51" s="22" t="s">
        <v>67</v>
      </c>
      <c r="B51" s="23" t="s">
        <v>68</v>
      </c>
      <c r="C51" s="23"/>
      <c r="D51" s="23"/>
      <c r="E51" s="23"/>
      <c r="F51" s="24">
        <v>0</v>
      </c>
      <c r="G51" s="24">
        <f t="shared" ref="G51:G54" si="7">SUM(H51-F51)</f>
        <v>440</v>
      </c>
      <c r="H51" s="24">
        <v>440</v>
      </c>
      <c r="I51" s="24">
        <v>0</v>
      </c>
      <c r="J51" s="25">
        <v>0</v>
      </c>
    </row>
    <row r="52" spans="1:11" ht="63.75">
      <c r="A52" s="26" t="s">
        <v>494</v>
      </c>
      <c r="B52" s="27" t="s">
        <v>68</v>
      </c>
      <c r="C52" s="27" t="s">
        <v>69</v>
      </c>
      <c r="D52" s="27" t="s">
        <v>16</v>
      </c>
      <c r="E52" s="27" t="s">
        <v>383</v>
      </c>
      <c r="F52" s="24">
        <v>0</v>
      </c>
      <c r="G52" s="24">
        <f t="shared" si="7"/>
        <v>440</v>
      </c>
      <c r="H52" s="24">
        <v>440</v>
      </c>
      <c r="I52" s="24">
        <v>0</v>
      </c>
      <c r="J52" s="25">
        <v>0</v>
      </c>
    </row>
    <row r="53" spans="1:11" ht="76.5">
      <c r="A53" s="22" t="s">
        <v>70</v>
      </c>
      <c r="B53" s="23" t="s">
        <v>71</v>
      </c>
      <c r="C53" s="23"/>
      <c r="D53" s="23"/>
      <c r="E53" s="23"/>
      <c r="F53" s="24">
        <v>1936.7</v>
      </c>
      <c r="G53" s="24">
        <f t="shared" si="7"/>
        <v>60</v>
      </c>
      <c r="H53" s="24">
        <f>1936.7+60</f>
        <v>1996.7</v>
      </c>
      <c r="I53" s="24">
        <v>2105.6999999999998</v>
      </c>
      <c r="J53" s="25">
        <v>2190.1</v>
      </c>
    </row>
    <row r="54" spans="1:11" ht="114.75">
      <c r="A54" s="26" t="s">
        <v>495</v>
      </c>
      <c r="B54" s="27" t="s">
        <v>71</v>
      </c>
      <c r="C54" s="27" t="s">
        <v>69</v>
      </c>
      <c r="D54" s="27" t="s">
        <v>16</v>
      </c>
      <c r="E54" s="27" t="s">
        <v>383</v>
      </c>
      <c r="F54" s="24">
        <v>1936.7</v>
      </c>
      <c r="G54" s="24">
        <f t="shared" si="7"/>
        <v>60</v>
      </c>
      <c r="H54" s="24">
        <f>1936.7+60</f>
        <v>1996.7</v>
      </c>
      <c r="I54" s="24">
        <v>2105.6999999999998</v>
      </c>
      <c r="J54" s="25">
        <v>2190.1</v>
      </c>
      <c r="K54" s="1">
        <v>60</v>
      </c>
    </row>
    <row r="55" spans="1:11" ht="75.75" thickBot="1">
      <c r="A55" s="10" t="s">
        <v>72</v>
      </c>
      <c r="B55" s="11" t="s">
        <v>73</v>
      </c>
      <c r="C55" s="11"/>
      <c r="D55" s="11"/>
      <c r="E55" s="11"/>
      <c r="F55" s="12">
        <v>1118016.149</v>
      </c>
      <c r="G55" s="12">
        <f>SUM(H55-F55)</f>
        <v>15297.687579999911</v>
      </c>
      <c r="H55" s="61">
        <f>1118746.23658+3364.8+3359.7+2309.2+1777.3+3297.2+459.4</f>
        <v>1133313.8365799999</v>
      </c>
      <c r="I55" s="12">
        <v>987120.12384000001</v>
      </c>
      <c r="J55" s="13">
        <v>940750.33314999996</v>
      </c>
    </row>
    <row r="56" spans="1:11" ht="51">
      <c r="A56" s="14" t="s">
        <v>74</v>
      </c>
      <c r="B56" s="15" t="s">
        <v>75</v>
      </c>
      <c r="C56" s="15"/>
      <c r="D56" s="15"/>
      <c r="E56" s="15"/>
      <c r="F56" s="16">
        <v>12882</v>
      </c>
      <c r="G56" s="16">
        <f>SUM(H56-F56)</f>
        <v>0</v>
      </c>
      <c r="H56" s="16">
        <v>12882</v>
      </c>
      <c r="I56" s="16">
        <v>13395</v>
      </c>
      <c r="J56" s="17">
        <v>13931</v>
      </c>
    </row>
    <row r="57" spans="1:11" ht="63.75">
      <c r="A57" s="18" t="s">
        <v>76</v>
      </c>
      <c r="B57" s="19" t="s">
        <v>77</v>
      </c>
      <c r="C57" s="19"/>
      <c r="D57" s="19"/>
      <c r="E57" s="19"/>
      <c r="F57" s="20">
        <v>1820</v>
      </c>
      <c r="G57" s="20">
        <f>SUM(H57-F57)</f>
        <v>0</v>
      </c>
      <c r="H57" s="20">
        <v>1820</v>
      </c>
      <c r="I57" s="20">
        <v>1891</v>
      </c>
      <c r="J57" s="21">
        <v>1966</v>
      </c>
    </row>
    <row r="58" spans="1:11" ht="51">
      <c r="A58" s="22" t="s">
        <v>78</v>
      </c>
      <c r="B58" s="23" t="s">
        <v>79</v>
      </c>
      <c r="C58" s="23"/>
      <c r="D58" s="23"/>
      <c r="E58" s="23"/>
      <c r="F58" s="24">
        <v>1820</v>
      </c>
      <c r="G58" s="24">
        <f t="shared" ref="G58:G60" si="8">SUM(H58-F58)</f>
        <v>0</v>
      </c>
      <c r="H58" s="24">
        <v>1820</v>
      </c>
      <c r="I58" s="24">
        <v>1891</v>
      </c>
      <c r="J58" s="25">
        <v>1966</v>
      </c>
    </row>
    <row r="59" spans="1:11" ht="140.25">
      <c r="A59" s="26" t="s">
        <v>400</v>
      </c>
      <c r="B59" s="27" t="s">
        <v>79</v>
      </c>
      <c r="C59" s="27" t="s">
        <v>30</v>
      </c>
      <c r="D59" s="27" t="s">
        <v>379</v>
      </c>
      <c r="E59" s="27" t="s">
        <v>380</v>
      </c>
      <c r="F59" s="24">
        <v>1767.2</v>
      </c>
      <c r="G59" s="24">
        <f t="shared" si="8"/>
        <v>0</v>
      </c>
      <c r="H59" s="24">
        <v>1767.2</v>
      </c>
      <c r="I59" s="24">
        <v>1844.5</v>
      </c>
      <c r="J59" s="25">
        <v>1917</v>
      </c>
    </row>
    <row r="60" spans="1:11" ht="89.25">
      <c r="A60" s="26" t="s">
        <v>422</v>
      </c>
      <c r="B60" s="27" t="s">
        <v>79</v>
      </c>
      <c r="C60" s="27" t="s">
        <v>37</v>
      </c>
      <c r="D60" s="27" t="s">
        <v>379</v>
      </c>
      <c r="E60" s="27" t="s">
        <v>380</v>
      </c>
      <c r="F60" s="24">
        <v>52.8</v>
      </c>
      <c r="G60" s="24">
        <f t="shared" si="8"/>
        <v>0</v>
      </c>
      <c r="H60" s="24">
        <v>52.8</v>
      </c>
      <c r="I60" s="24">
        <v>46.5</v>
      </c>
      <c r="J60" s="25">
        <v>49</v>
      </c>
    </row>
    <row r="61" spans="1:11" ht="25.5">
      <c r="A61" s="18" t="s">
        <v>80</v>
      </c>
      <c r="B61" s="19" t="s">
        <v>81</v>
      </c>
      <c r="C61" s="19"/>
      <c r="D61" s="19"/>
      <c r="E61" s="19"/>
      <c r="F61" s="20">
        <v>11062</v>
      </c>
      <c r="G61" s="20">
        <f>SUM(H61-F61)</f>
        <v>0</v>
      </c>
      <c r="H61" s="20">
        <v>11062</v>
      </c>
      <c r="I61" s="20">
        <v>11504</v>
      </c>
      <c r="J61" s="21">
        <v>11965</v>
      </c>
    </row>
    <row r="62" spans="1:11" ht="140.25">
      <c r="A62" s="22" t="s">
        <v>82</v>
      </c>
      <c r="B62" s="23" t="s">
        <v>83</v>
      </c>
      <c r="C62" s="23"/>
      <c r="D62" s="23"/>
      <c r="E62" s="23"/>
      <c r="F62" s="24">
        <v>11062</v>
      </c>
      <c r="G62" s="24">
        <f t="shared" ref="G62:G65" si="9">SUM(H62-F62)</f>
        <v>0</v>
      </c>
      <c r="H62" s="24">
        <v>11062</v>
      </c>
      <c r="I62" s="24">
        <v>11504</v>
      </c>
      <c r="J62" s="25">
        <v>11965</v>
      </c>
    </row>
    <row r="63" spans="1:11" ht="153">
      <c r="A63" s="26" t="s">
        <v>459</v>
      </c>
      <c r="B63" s="27" t="s">
        <v>83</v>
      </c>
      <c r="C63" s="27" t="s">
        <v>84</v>
      </c>
      <c r="D63" s="27" t="s">
        <v>16</v>
      </c>
      <c r="E63" s="27" t="s">
        <v>381</v>
      </c>
      <c r="F63" s="24">
        <v>3370</v>
      </c>
      <c r="G63" s="24">
        <f t="shared" si="9"/>
        <v>0</v>
      </c>
      <c r="H63" s="24">
        <v>3370</v>
      </c>
      <c r="I63" s="24">
        <v>3470</v>
      </c>
      <c r="J63" s="25">
        <v>3570</v>
      </c>
    </row>
    <row r="64" spans="1:11" ht="153">
      <c r="A64" s="26" t="s">
        <v>459</v>
      </c>
      <c r="B64" s="27" t="s">
        <v>85</v>
      </c>
      <c r="C64" s="27" t="s">
        <v>84</v>
      </c>
      <c r="D64" s="27" t="s">
        <v>16</v>
      </c>
      <c r="E64" s="27" t="s">
        <v>381</v>
      </c>
      <c r="F64" s="24">
        <v>3208</v>
      </c>
      <c r="G64" s="24">
        <f t="shared" si="9"/>
        <v>0</v>
      </c>
      <c r="H64" s="24">
        <v>3208</v>
      </c>
      <c r="I64" s="24">
        <v>3308</v>
      </c>
      <c r="J64" s="25">
        <v>3410</v>
      </c>
    </row>
    <row r="65" spans="1:11" ht="140.25">
      <c r="A65" s="26" t="s">
        <v>82</v>
      </c>
      <c r="B65" s="27" t="s">
        <v>86</v>
      </c>
      <c r="C65" s="27" t="s">
        <v>84</v>
      </c>
      <c r="D65" s="27" t="s">
        <v>16</v>
      </c>
      <c r="E65" s="27" t="s">
        <v>381</v>
      </c>
      <c r="F65" s="24">
        <v>4484</v>
      </c>
      <c r="G65" s="24">
        <f t="shared" si="9"/>
        <v>0</v>
      </c>
      <c r="H65" s="24">
        <v>4484</v>
      </c>
      <c r="I65" s="24">
        <v>4726</v>
      </c>
      <c r="J65" s="25">
        <v>4985</v>
      </c>
    </row>
    <row r="66" spans="1:11" ht="25.5">
      <c r="A66" s="14" t="s">
        <v>87</v>
      </c>
      <c r="B66" s="15" t="s">
        <v>88</v>
      </c>
      <c r="C66" s="15"/>
      <c r="D66" s="15"/>
      <c r="E66" s="15"/>
      <c r="F66" s="16">
        <v>965120.96158</v>
      </c>
      <c r="G66" s="16">
        <f>SUM(H66-F66)</f>
        <v>7362.554209999973</v>
      </c>
      <c r="H66" s="43">
        <f>965559.01579+3364.8+3559.7</f>
        <v>972483.51578999998</v>
      </c>
      <c r="I66" s="16">
        <v>838200.90437</v>
      </c>
      <c r="J66" s="17">
        <v>778925.21368000004</v>
      </c>
    </row>
    <row r="67" spans="1:11" ht="25.5">
      <c r="A67" s="18" t="s">
        <v>89</v>
      </c>
      <c r="B67" s="19" t="s">
        <v>90</v>
      </c>
      <c r="C67" s="19"/>
      <c r="D67" s="19"/>
      <c r="E67" s="19"/>
      <c r="F67" s="20">
        <v>118772</v>
      </c>
      <c r="G67" s="20">
        <f>SUM(H67-F67)</f>
        <v>3371.6543700000038</v>
      </c>
      <c r="H67" s="20">
        <f>118778.85437+3364.8</f>
        <v>122143.65437</v>
      </c>
      <c r="I67" s="20">
        <v>122067.9</v>
      </c>
      <c r="J67" s="21">
        <v>126942.2</v>
      </c>
    </row>
    <row r="68" spans="1:11" ht="127.5">
      <c r="A68" s="22" t="s">
        <v>91</v>
      </c>
      <c r="B68" s="23" t="s">
        <v>92</v>
      </c>
      <c r="C68" s="23"/>
      <c r="D68" s="23"/>
      <c r="E68" s="23"/>
      <c r="F68" s="24">
        <v>63888.5</v>
      </c>
      <c r="G68" s="24">
        <f>SUM(H68-F68)</f>
        <v>0</v>
      </c>
      <c r="H68" s="24">
        <v>63888.5</v>
      </c>
      <c r="I68" s="24">
        <v>67570.3</v>
      </c>
      <c r="J68" s="25">
        <v>71439.7</v>
      </c>
    </row>
    <row r="69" spans="1:11" ht="191.25">
      <c r="A69" s="26" t="s">
        <v>401</v>
      </c>
      <c r="B69" s="27" t="s">
        <v>92</v>
      </c>
      <c r="C69" s="27" t="s">
        <v>30</v>
      </c>
      <c r="D69" s="27" t="s">
        <v>390</v>
      </c>
      <c r="E69" s="27" t="s">
        <v>379</v>
      </c>
      <c r="F69" s="24">
        <v>10178.4</v>
      </c>
      <c r="G69" s="24">
        <f t="shared" ref="G69:G85" si="10">SUM(H69-F69)</f>
        <v>0</v>
      </c>
      <c r="H69" s="24">
        <v>10178.4</v>
      </c>
      <c r="I69" s="24">
        <v>10765</v>
      </c>
      <c r="J69" s="25">
        <v>11381.5</v>
      </c>
    </row>
    <row r="70" spans="1:11" ht="191.25">
      <c r="A70" s="26" t="s">
        <v>401</v>
      </c>
      <c r="B70" s="27" t="s">
        <v>92</v>
      </c>
      <c r="C70" s="27" t="s">
        <v>30</v>
      </c>
      <c r="D70" s="27" t="s">
        <v>390</v>
      </c>
      <c r="E70" s="27" t="s">
        <v>382</v>
      </c>
      <c r="F70" s="24">
        <v>5454.3</v>
      </c>
      <c r="G70" s="24">
        <f t="shared" si="10"/>
        <v>0</v>
      </c>
      <c r="H70" s="24">
        <v>5454.3</v>
      </c>
      <c r="I70" s="24">
        <v>5767</v>
      </c>
      <c r="J70" s="25">
        <v>6097</v>
      </c>
    </row>
    <row r="71" spans="1:11" ht="153">
      <c r="A71" s="26" t="s">
        <v>423</v>
      </c>
      <c r="B71" s="27" t="s">
        <v>92</v>
      </c>
      <c r="C71" s="27" t="s">
        <v>37</v>
      </c>
      <c r="D71" s="27" t="s">
        <v>390</v>
      </c>
      <c r="E71" s="27" t="s">
        <v>379</v>
      </c>
      <c r="F71" s="24">
        <v>216</v>
      </c>
      <c r="G71" s="24">
        <f t="shared" si="10"/>
        <v>0</v>
      </c>
      <c r="H71" s="24">
        <v>216</v>
      </c>
      <c r="I71" s="24">
        <v>228</v>
      </c>
      <c r="J71" s="25">
        <v>239.7</v>
      </c>
    </row>
    <row r="72" spans="1:11" ht="153">
      <c r="A72" s="26" t="s">
        <v>423</v>
      </c>
      <c r="B72" s="27" t="s">
        <v>92</v>
      </c>
      <c r="C72" s="27" t="s">
        <v>37</v>
      </c>
      <c r="D72" s="27" t="s">
        <v>390</v>
      </c>
      <c r="E72" s="27" t="s">
        <v>382</v>
      </c>
      <c r="F72" s="24">
        <v>111</v>
      </c>
      <c r="G72" s="24">
        <f t="shared" si="10"/>
        <v>0</v>
      </c>
      <c r="H72" s="24">
        <v>111</v>
      </c>
      <c r="I72" s="24">
        <v>116.9</v>
      </c>
      <c r="J72" s="25">
        <v>123.7</v>
      </c>
    </row>
    <row r="73" spans="1:11" ht="153">
      <c r="A73" s="26" t="s">
        <v>496</v>
      </c>
      <c r="B73" s="27" t="s">
        <v>92</v>
      </c>
      <c r="C73" s="27" t="s">
        <v>69</v>
      </c>
      <c r="D73" s="27" t="s">
        <v>390</v>
      </c>
      <c r="E73" s="27" t="s">
        <v>379</v>
      </c>
      <c r="F73" s="24">
        <v>46568.800000000003</v>
      </c>
      <c r="G73" s="24">
        <f t="shared" si="10"/>
        <v>0</v>
      </c>
      <c r="H73" s="24">
        <v>46568.800000000003</v>
      </c>
      <c r="I73" s="24">
        <v>49254.9</v>
      </c>
      <c r="J73" s="25">
        <v>52077</v>
      </c>
    </row>
    <row r="74" spans="1:11" ht="153">
      <c r="A74" s="26" t="s">
        <v>496</v>
      </c>
      <c r="B74" s="27" t="s">
        <v>92</v>
      </c>
      <c r="C74" s="27" t="s">
        <v>69</v>
      </c>
      <c r="D74" s="27" t="s">
        <v>390</v>
      </c>
      <c r="E74" s="27" t="s">
        <v>382</v>
      </c>
      <c r="F74" s="24">
        <v>1360</v>
      </c>
      <c r="G74" s="24">
        <f t="shared" si="10"/>
        <v>0</v>
      </c>
      <c r="H74" s="24">
        <v>1360</v>
      </c>
      <c r="I74" s="24">
        <v>1438.5</v>
      </c>
      <c r="J74" s="25">
        <v>1520.8</v>
      </c>
    </row>
    <row r="75" spans="1:11" ht="102">
      <c r="A75" s="22" t="s">
        <v>93</v>
      </c>
      <c r="B75" s="23" t="s">
        <v>94</v>
      </c>
      <c r="C75" s="23"/>
      <c r="D75" s="23"/>
      <c r="E75" s="23"/>
      <c r="F75" s="24">
        <v>54383.5</v>
      </c>
      <c r="G75" s="24">
        <f t="shared" si="10"/>
        <v>3371.6543700000038</v>
      </c>
      <c r="H75" s="24">
        <f>54390.35437+3364.8</f>
        <v>57755.154370000004</v>
      </c>
      <c r="I75" s="24">
        <v>53997.599999999999</v>
      </c>
      <c r="J75" s="25">
        <v>55002.5</v>
      </c>
    </row>
    <row r="76" spans="1:11" ht="165.75">
      <c r="A76" s="26" t="s">
        <v>402</v>
      </c>
      <c r="B76" s="27" t="s">
        <v>94</v>
      </c>
      <c r="C76" s="27" t="s">
        <v>30</v>
      </c>
      <c r="D76" s="27" t="s">
        <v>390</v>
      </c>
      <c r="E76" s="27" t="s">
        <v>379</v>
      </c>
      <c r="F76" s="24">
        <v>7399.4</v>
      </c>
      <c r="G76" s="24">
        <f t="shared" si="10"/>
        <v>746.30000000000018</v>
      </c>
      <c r="H76" s="24">
        <f>7399.4+746.3</f>
        <v>8145.7</v>
      </c>
      <c r="I76" s="24">
        <v>7722.7</v>
      </c>
      <c r="J76" s="25">
        <v>8031.5</v>
      </c>
      <c r="K76" s="1">
        <v>746.3</v>
      </c>
    </row>
    <row r="77" spans="1:11" ht="165.75">
      <c r="A77" s="26" t="s">
        <v>402</v>
      </c>
      <c r="B77" s="27" t="s">
        <v>94</v>
      </c>
      <c r="C77" s="27" t="s">
        <v>30</v>
      </c>
      <c r="D77" s="27" t="s">
        <v>390</v>
      </c>
      <c r="E77" s="27" t="s">
        <v>382</v>
      </c>
      <c r="F77" s="24">
        <v>1460.9</v>
      </c>
      <c r="G77" s="24">
        <f t="shared" si="10"/>
        <v>147.40000000000009</v>
      </c>
      <c r="H77" s="41">
        <f>1460.9+147.4</f>
        <v>1608.3000000000002</v>
      </c>
      <c r="I77" s="24">
        <v>1524.7</v>
      </c>
      <c r="J77" s="25">
        <v>1583.6</v>
      </c>
      <c r="K77" s="1">
        <v>147.4</v>
      </c>
    </row>
    <row r="78" spans="1:11" ht="127.5">
      <c r="A78" s="26" t="s">
        <v>424</v>
      </c>
      <c r="B78" s="27" t="s">
        <v>94</v>
      </c>
      <c r="C78" s="27" t="s">
        <v>37</v>
      </c>
      <c r="D78" s="27" t="s">
        <v>390</v>
      </c>
      <c r="E78" s="27" t="s">
        <v>379</v>
      </c>
      <c r="F78" s="24">
        <v>5909.6</v>
      </c>
      <c r="G78" s="24">
        <f t="shared" si="10"/>
        <v>-10</v>
      </c>
      <c r="H78" s="24">
        <v>5899.6</v>
      </c>
      <c r="I78" s="24">
        <v>5508.3</v>
      </c>
      <c r="J78" s="25">
        <v>5359.2</v>
      </c>
    </row>
    <row r="79" spans="1:11" ht="127.5">
      <c r="A79" s="26" t="s">
        <v>424</v>
      </c>
      <c r="B79" s="27" t="s">
        <v>94</v>
      </c>
      <c r="C79" s="27" t="s">
        <v>37</v>
      </c>
      <c r="D79" s="27" t="s">
        <v>390</v>
      </c>
      <c r="E79" s="27" t="s">
        <v>382</v>
      </c>
      <c r="F79" s="24">
        <v>1469</v>
      </c>
      <c r="G79" s="24">
        <f t="shared" si="10"/>
        <v>6.8543700000000172</v>
      </c>
      <c r="H79" s="24">
        <v>1475.85437</v>
      </c>
      <c r="I79" s="24">
        <v>1469</v>
      </c>
      <c r="J79" s="25">
        <v>1469</v>
      </c>
    </row>
    <row r="80" spans="1:11" ht="102">
      <c r="A80" s="26" t="s">
        <v>472</v>
      </c>
      <c r="B80" s="27" t="s">
        <v>94</v>
      </c>
      <c r="C80" s="27" t="s">
        <v>44</v>
      </c>
      <c r="D80" s="27" t="s">
        <v>390</v>
      </c>
      <c r="E80" s="27" t="s">
        <v>379</v>
      </c>
      <c r="F80" s="24">
        <v>45</v>
      </c>
      <c r="G80" s="24">
        <f t="shared" si="10"/>
        <v>0</v>
      </c>
      <c r="H80" s="24">
        <v>45</v>
      </c>
      <c r="I80" s="24">
        <v>0</v>
      </c>
      <c r="J80" s="25">
        <v>0</v>
      </c>
    </row>
    <row r="81" spans="1:11" ht="127.5">
      <c r="A81" s="26" t="s">
        <v>497</v>
      </c>
      <c r="B81" s="27" t="s">
        <v>94</v>
      </c>
      <c r="C81" s="27" t="s">
        <v>69</v>
      </c>
      <c r="D81" s="27" t="s">
        <v>390</v>
      </c>
      <c r="E81" s="27" t="s">
        <v>379</v>
      </c>
      <c r="F81" s="24">
        <v>37671.699999999997</v>
      </c>
      <c r="G81" s="24">
        <f t="shared" si="10"/>
        <v>2433.9000000000015</v>
      </c>
      <c r="H81" s="24">
        <f>37671.7+2433.9</f>
        <v>40105.599999999999</v>
      </c>
      <c r="I81" s="24">
        <v>37327.800000000003</v>
      </c>
      <c r="J81" s="25">
        <v>38098.800000000003</v>
      </c>
      <c r="K81" s="1">
        <v>2433.9</v>
      </c>
    </row>
    <row r="82" spans="1:11" ht="127.5">
      <c r="A82" s="26" t="s">
        <v>497</v>
      </c>
      <c r="B82" s="27" t="s">
        <v>94</v>
      </c>
      <c r="C82" s="27" t="s">
        <v>69</v>
      </c>
      <c r="D82" s="27" t="s">
        <v>390</v>
      </c>
      <c r="E82" s="27" t="s">
        <v>382</v>
      </c>
      <c r="F82" s="24">
        <v>391.9</v>
      </c>
      <c r="G82" s="24">
        <f t="shared" si="10"/>
        <v>37.199999999999989</v>
      </c>
      <c r="H82" s="41">
        <f>391.9+37.2</f>
        <v>429.09999999999997</v>
      </c>
      <c r="I82" s="24">
        <v>408.1</v>
      </c>
      <c r="J82" s="25">
        <v>423.4</v>
      </c>
      <c r="K82" s="1">
        <v>37.200000000000003</v>
      </c>
    </row>
    <row r="83" spans="1:11" ht="102">
      <c r="A83" s="26" t="s">
        <v>528</v>
      </c>
      <c r="B83" s="27" t="s">
        <v>94</v>
      </c>
      <c r="C83" s="27" t="s">
        <v>62</v>
      </c>
      <c r="D83" s="27" t="s">
        <v>390</v>
      </c>
      <c r="E83" s="27" t="s">
        <v>379</v>
      </c>
      <c r="F83" s="24">
        <v>36</v>
      </c>
      <c r="G83" s="24">
        <f t="shared" si="10"/>
        <v>10</v>
      </c>
      <c r="H83" s="24">
        <v>46</v>
      </c>
      <c r="I83" s="24">
        <v>37</v>
      </c>
      <c r="J83" s="25">
        <v>37</v>
      </c>
    </row>
    <row r="84" spans="1:11" ht="38.25">
      <c r="A84" s="22" t="s">
        <v>95</v>
      </c>
      <c r="B84" s="23" t="s">
        <v>96</v>
      </c>
      <c r="C84" s="23"/>
      <c r="D84" s="23"/>
      <c r="E84" s="23"/>
      <c r="F84" s="24">
        <v>500</v>
      </c>
      <c r="G84" s="24">
        <f t="shared" si="10"/>
        <v>0</v>
      </c>
      <c r="H84" s="24">
        <v>500</v>
      </c>
      <c r="I84" s="24">
        <v>500</v>
      </c>
      <c r="J84" s="25">
        <v>500</v>
      </c>
    </row>
    <row r="85" spans="1:11" ht="63.75">
      <c r="A85" s="26" t="s">
        <v>498</v>
      </c>
      <c r="B85" s="27" t="s">
        <v>96</v>
      </c>
      <c r="C85" s="27" t="s">
        <v>69</v>
      </c>
      <c r="D85" s="27" t="s">
        <v>390</v>
      </c>
      <c r="E85" s="27" t="s">
        <v>379</v>
      </c>
      <c r="F85" s="24">
        <v>500</v>
      </c>
      <c r="G85" s="24">
        <f t="shared" si="10"/>
        <v>0</v>
      </c>
      <c r="H85" s="24">
        <v>500</v>
      </c>
      <c r="I85" s="24">
        <v>500</v>
      </c>
      <c r="J85" s="25">
        <v>500</v>
      </c>
    </row>
    <row r="86" spans="1:11" ht="25.5">
      <c r="A86" s="18" t="s">
        <v>97</v>
      </c>
      <c r="B86" s="19" t="s">
        <v>98</v>
      </c>
      <c r="C86" s="19"/>
      <c r="D86" s="19"/>
      <c r="E86" s="19"/>
      <c r="F86" s="20">
        <v>761960.26257999998</v>
      </c>
      <c r="G86" s="20">
        <f>SUM(H86-F86)</f>
        <v>3666.1998400000157</v>
      </c>
      <c r="H86" s="42">
        <f>762266.76242+3359.7</f>
        <v>765626.46242</v>
      </c>
      <c r="I86" s="20">
        <v>624626.13737000001</v>
      </c>
      <c r="J86" s="21">
        <v>625491.96768</v>
      </c>
    </row>
    <row r="87" spans="1:11" ht="89.25">
      <c r="A87" s="22" t="s">
        <v>99</v>
      </c>
      <c r="B87" s="23" t="s">
        <v>100</v>
      </c>
      <c r="C87" s="23"/>
      <c r="D87" s="23"/>
      <c r="E87" s="23"/>
      <c r="F87" s="24">
        <v>0</v>
      </c>
      <c r="G87" s="24">
        <f t="shared" ref="G87:G119" si="11">SUM(H87-F87)</f>
        <v>100</v>
      </c>
      <c r="H87" s="24">
        <v>100</v>
      </c>
      <c r="I87" s="24">
        <v>0</v>
      </c>
      <c r="J87" s="25">
        <v>0</v>
      </c>
    </row>
    <row r="88" spans="1:11" ht="114.75">
      <c r="A88" s="26" t="s">
        <v>425</v>
      </c>
      <c r="B88" s="27" t="s">
        <v>100</v>
      </c>
      <c r="C88" s="27" t="s">
        <v>37</v>
      </c>
      <c r="D88" s="27" t="s">
        <v>390</v>
      </c>
      <c r="E88" s="27" t="s">
        <v>382</v>
      </c>
      <c r="F88" s="24">
        <v>0</v>
      </c>
      <c r="G88" s="24">
        <f t="shared" si="11"/>
        <v>30</v>
      </c>
      <c r="H88" s="24">
        <v>30</v>
      </c>
      <c r="I88" s="24">
        <v>0</v>
      </c>
      <c r="J88" s="25">
        <v>0</v>
      </c>
    </row>
    <row r="89" spans="1:11" ht="114.75">
      <c r="A89" s="26" t="s">
        <v>499</v>
      </c>
      <c r="B89" s="27" t="s">
        <v>100</v>
      </c>
      <c r="C89" s="27" t="s">
        <v>69</v>
      </c>
      <c r="D89" s="27" t="s">
        <v>390</v>
      </c>
      <c r="E89" s="27" t="s">
        <v>382</v>
      </c>
      <c r="F89" s="24">
        <v>0</v>
      </c>
      <c r="G89" s="24">
        <f t="shared" si="11"/>
        <v>70</v>
      </c>
      <c r="H89" s="24">
        <v>70</v>
      </c>
      <c r="I89" s="24">
        <v>0</v>
      </c>
      <c r="J89" s="25">
        <v>0</v>
      </c>
    </row>
    <row r="90" spans="1:11" ht="153">
      <c r="A90" s="22" t="s">
        <v>101</v>
      </c>
      <c r="B90" s="23" t="s">
        <v>102</v>
      </c>
      <c r="C90" s="23"/>
      <c r="D90" s="23"/>
      <c r="E90" s="23"/>
      <c r="F90" s="24">
        <v>276017.2</v>
      </c>
      <c r="G90" s="24">
        <f t="shared" si="11"/>
        <v>0</v>
      </c>
      <c r="H90" s="24">
        <v>276017.2</v>
      </c>
      <c r="I90" s="24">
        <v>295954.7</v>
      </c>
      <c r="J90" s="25">
        <v>316276.8</v>
      </c>
    </row>
    <row r="91" spans="1:11" ht="229.5">
      <c r="A91" s="26" t="s">
        <v>403</v>
      </c>
      <c r="B91" s="27" t="s">
        <v>102</v>
      </c>
      <c r="C91" s="27" t="s">
        <v>30</v>
      </c>
      <c r="D91" s="27" t="s">
        <v>390</v>
      </c>
      <c r="E91" s="27" t="s">
        <v>382</v>
      </c>
      <c r="F91" s="24">
        <v>83418.899999999994</v>
      </c>
      <c r="G91" s="24">
        <f t="shared" si="11"/>
        <v>0</v>
      </c>
      <c r="H91" s="24">
        <v>83418.899999999994</v>
      </c>
      <c r="I91" s="24">
        <v>89444.4</v>
      </c>
      <c r="J91" s="25">
        <v>95586.4</v>
      </c>
    </row>
    <row r="92" spans="1:11" ht="191.25">
      <c r="A92" s="26" t="s">
        <v>426</v>
      </c>
      <c r="B92" s="27" t="s">
        <v>102</v>
      </c>
      <c r="C92" s="27" t="s">
        <v>37</v>
      </c>
      <c r="D92" s="27" t="s">
        <v>390</v>
      </c>
      <c r="E92" s="27" t="s">
        <v>382</v>
      </c>
      <c r="F92" s="24">
        <v>2596.6</v>
      </c>
      <c r="G92" s="24">
        <f t="shared" si="11"/>
        <v>0</v>
      </c>
      <c r="H92" s="24">
        <v>2596.6</v>
      </c>
      <c r="I92" s="24">
        <v>2784.7</v>
      </c>
      <c r="J92" s="25">
        <v>2975.2</v>
      </c>
    </row>
    <row r="93" spans="1:11" ht="191.25">
      <c r="A93" s="26" t="s">
        <v>500</v>
      </c>
      <c r="B93" s="27" t="s">
        <v>102</v>
      </c>
      <c r="C93" s="27" t="s">
        <v>69</v>
      </c>
      <c r="D93" s="27" t="s">
        <v>390</v>
      </c>
      <c r="E93" s="27" t="s">
        <v>382</v>
      </c>
      <c r="F93" s="24">
        <v>190001.7</v>
      </c>
      <c r="G93" s="24">
        <f t="shared" si="11"/>
        <v>0</v>
      </c>
      <c r="H93" s="24">
        <v>190001.7</v>
      </c>
      <c r="I93" s="24">
        <v>203725.6</v>
      </c>
      <c r="J93" s="25">
        <v>217715.20000000001</v>
      </c>
    </row>
    <row r="94" spans="1:11" ht="153">
      <c r="A94" s="22" t="s">
        <v>103</v>
      </c>
      <c r="B94" s="23" t="s">
        <v>104</v>
      </c>
      <c r="C94" s="23"/>
      <c r="D94" s="23"/>
      <c r="E94" s="23"/>
      <c r="F94" s="24">
        <v>678.6</v>
      </c>
      <c r="G94" s="24">
        <f t="shared" si="11"/>
        <v>0</v>
      </c>
      <c r="H94" s="24">
        <v>678.6</v>
      </c>
      <c r="I94" s="24">
        <v>705.7</v>
      </c>
      <c r="J94" s="25">
        <v>733.9</v>
      </c>
    </row>
    <row r="95" spans="1:11" ht="165.75">
      <c r="A95" s="26" t="s">
        <v>461</v>
      </c>
      <c r="B95" s="27" t="s">
        <v>104</v>
      </c>
      <c r="C95" s="27" t="s">
        <v>84</v>
      </c>
      <c r="D95" s="27" t="s">
        <v>16</v>
      </c>
      <c r="E95" s="27" t="s">
        <v>381</v>
      </c>
      <c r="F95" s="24">
        <v>678.6</v>
      </c>
      <c r="G95" s="24">
        <f t="shared" si="11"/>
        <v>0</v>
      </c>
      <c r="H95" s="24">
        <v>678.6</v>
      </c>
      <c r="I95" s="24">
        <v>705.7</v>
      </c>
      <c r="J95" s="25">
        <v>733.9</v>
      </c>
    </row>
    <row r="96" spans="1:11" ht="102">
      <c r="A96" s="22" t="s">
        <v>105</v>
      </c>
      <c r="B96" s="23" t="s">
        <v>106</v>
      </c>
      <c r="C96" s="23"/>
      <c r="D96" s="23"/>
      <c r="E96" s="23"/>
      <c r="F96" s="24">
        <v>64344.2</v>
      </c>
      <c r="G96" s="24">
        <f t="shared" si="11"/>
        <v>3466.1998400000011</v>
      </c>
      <c r="H96" s="41">
        <f>64450.69984+493.6+2866.1</f>
        <v>67810.399839999998</v>
      </c>
      <c r="I96" s="24">
        <v>53401.2</v>
      </c>
      <c r="J96" s="25">
        <v>48548.4</v>
      </c>
    </row>
    <row r="97" spans="1:11" ht="127.5">
      <c r="A97" s="26" t="s">
        <v>427</v>
      </c>
      <c r="B97" s="27" t="s">
        <v>106</v>
      </c>
      <c r="C97" s="27" t="s">
        <v>37</v>
      </c>
      <c r="D97" s="27" t="s">
        <v>390</v>
      </c>
      <c r="E97" s="27" t="s">
        <v>382</v>
      </c>
      <c r="F97" s="24">
        <v>18721.2</v>
      </c>
      <c r="G97" s="24">
        <f t="shared" si="11"/>
        <v>811.79103999999643</v>
      </c>
      <c r="H97" s="24">
        <f>19039.39104+493.6</f>
        <v>19532.991039999997</v>
      </c>
      <c r="I97" s="24">
        <v>15491.7</v>
      </c>
      <c r="J97" s="25">
        <v>13931</v>
      </c>
      <c r="K97" s="1">
        <v>493.6</v>
      </c>
    </row>
    <row r="98" spans="1:11" ht="114.75">
      <c r="A98" s="26" t="s">
        <v>460</v>
      </c>
      <c r="B98" s="27" t="s">
        <v>106</v>
      </c>
      <c r="C98" s="27" t="s">
        <v>84</v>
      </c>
      <c r="D98" s="27" t="s">
        <v>390</v>
      </c>
      <c r="E98" s="27" t="s">
        <v>382</v>
      </c>
      <c r="F98" s="24">
        <v>91.7</v>
      </c>
      <c r="G98" s="24">
        <f t="shared" si="11"/>
        <v>12.599999999999994</v>
      </c>
      <c r="H98" s="24">
        <v>104.3</v>
      </c>
      <c r="I98" s="24">
        <v>95.8</v>
      </c>
      <c r="J98" s="25">
        <v>100</v>
      </c>
    </row>
    <row r="99" spans="1:11" ht="127.5">
      <c r="A99" s="26" t="s">
        <v>501</v>
      </c>
      <c r="B99" s="27" t="s">
        <v>106</v>
      </c>
      <c r="C99" s="27" t="s">
        <v>69</v>
      </c>
      <c r="D99" s="27" t="s">
        <v>390</v>
      </c>
      <c r="E99" s="27" t="s">
        <v>382</v>
      </c>
      <c r="F99" s="24">
        <v>44832.3</v>
      </c>
      <c r="G99" s="24">
        <f t="shared" si="11"/>
        <v>2641.3999699999986</v>
      </c>
      <c r="H99" s="41">
        <f>44607.59997+2866.1</f>
        <v>47473.699970000001</v>
      </c>
      <c r="I99" s="24">
        <v>37114.699999999997</v>
      </c>
      <c r="J99" s="25">
        <v>33818.400000000001</v>
      </c>
      <c r="K99" s="1">
        <v>2866.1</v>
      </c>
    </row>
    <row r="100" spans="1:11" ht="102">
      <c r="A100" s="26" t="s">
        <v>529</v>
      </c>
      <c r="B100" s="27" t="s">
        <v>106</v>
      </c>
      <c r="C100" s="27" t="s">
        <v>62</v>
      </c>
      <c r="D100" s="27" t="s">
        <v>390</v>
      </c>
      <c r="E100" s="27" t="s">
        <v>382</v>
      </c>
      <c r="F100" s="24">
        <v>699</v>
      </c>
      <c r="G100" s="24">
        <f t="shared" si="11"/>
        <v>0.40882999999996628</v>
      </c>
      <c r="H100" s="24">
        <v>699.40882999999997</v>
      </c>
      <c r="I100" s="24">
        <v>699</v>
      </c>
      <c r="J100" s="25">
        <v>699</v>
      </c>
    </row>
    <row r="101" spans="1:11" ht="63.75">
      <c r="A101" s="22" t="s">
        <v>107</v>
      </c>
      <c r="B101" s="23" t="s">
        <v>108</v>
      </c>
      <c r="C101" s="23"/>
      <c r="D101" s="23"/>
      <c r="E101" s="23"/>
      <c r="F101" s="24">
        <v>12991.368640000001</v>
      </c>
      <c r="G101" s="24">
        <f t="shared" si="11"/>
        <v>0</v>
      </c>
      <c r="H101" s="24">
        <v>12991.368640000001</v>
      </c>
      <c r="I101" s="24">
        <v>12997.6</v>
      </c>
      <c r="J101" s="25">
        <v>12997.6</v>
      </c>
    </row>
    <row r="102" spans="1:11" ht="89.25">
      <c r="A102" s="26" t="s">
        <v>428</v>
      </c>
      <c r="B102" s="27" t="s">
        <v>108</v>
      </c>
      <c r="C102" s="27" t="s">
        <v>37</v>
      </c>
      <c r="D102" s="27" t="s">
        <v>390</v>
      </c>
      <c r="E102" s="27" t="s">
        <v>382</v>
      </c>
      <c r="F102" s="24">
        <v>2845.4585099999999</v>
      </c>
      <c r="G102" s="24">
        <f t="shared" si="11"/>
        <v>0</v>
      </c>
      <c r="H102" s="24">
        <v>2845.4585099999999</v>
      </c>
      <c r="I102" s="24">
        <v>2846.2797300000002</v>
      </c>
      <c r="J102" s="25">
        <v>2846.3251</v>
      </c>
    </row>
    <row r="103" spans="1:11" ht="89.25">
      <c r="A103" s="26" t="s">
        <v>502</v>
      </c>
      <c r="B103" s="27" t="s">
        <v>108</v>
      </c>
      <c r="C103" s="27" t="s">
        <v>69</v>
      </c>
      <c r="D103" s="27" t="s">
        <v>390</v>
      </c>
      <c r="E103" s="27" t="s">
        <v>382</v>
      </c>
      <c r="F103" s="24">
        <v>10145.91013</v>
      </c>
      <c r="G103" s="24">
        <f t="shared" si="11"/>
        <v>0</v>
      </c>
      <c r="H103" s="24">
        <v>10145.91013</v>
      </c>
      <c r="I103" s="24">
        <v>10151.32027</v>
      </c>
      <c r="J103" s="25">
        <v>10151.2749</v>
      </c>
    </row>
    <row r="104" spans="1:11" ht="102">
      <c r="A104" s="22" t="s">
        <v>109</v>
      </c>
      <c r="B104" s="23" t="s">
        <v>110</v>
      </c>
      <c r="C104" s="23"/>
      <c r="D104" s="23"/>
      <c r="E104" s="23"/>
      <c r="F104" s="24">
        <v>4085.4</v>
      </c>
      <c r="G104" s="24">
        <f t="shared" si="11"/>
        <v>0</v>
      </c>
      <c r="H104" s="24">
        <v>4085.4</v>
      </c>
      <c r="I104" s="24">
        <v>4248.8</v>
      </c>
      <c r="J104" s="25">
        <v>4418.6000000000004</v>
      </c>
    </row>
    <row r="105" spans="1:11" ht="127.5">
      <c r="A105" s="26" t="s">
        <v>429</v>
      </c>
      <c r="B105" s="27" t="s">
        <v>110</v>
      </c>
      <c r="C105" s="27" t="s">
        <v>37</v>
      </c>
      <c r="D105" s="27" t="s">
        <v>390</v>
      </c>
      <c r="E105" s="27" t="s">
        <v>382</v>
      </c>
      <c r="F105" s="24">
        <v>912</v>
      </c>
      <c r="G105" s="24">
        <f t="shared" si="11"/>
        <v>0</v>
      </c>
      <c r="H105" s="24">
        <v>912</v>
      </c>
      <c r="I105" s="24">
        <v>948.8</v>
      </c>
      <c r="J105" s="25">
        <v>986.6</v>
      </c>
    </row>
    <row r="106" spans="1:11" ht="127.5">
      <c r="A106" s="26" t="s">
        <v>503</v>
      </c>
      <c r="B106" s="27" t="s">
        <v>110</v>
      </c>
      <c r="C106" s="27" t="s">
        <v>69</v>
      </c>
      <c r="D106" s="27" t="s">
        <v>390</v>
      </c>
      <c r="E106" s="27" t="s">
        <v>382</v>
      </c>
      <c r="F106" s="24">
        <v>3173.4</v>
      </c>
      <c r="G106" s="24">
        <f t="shared" si="11"/>
        <v>0</v>
      </c>
      <c r="H106" s="24">
        <v>3173.4</v>
      </c>
      <c r="I106" s="24">
        <v>3300</v>
      </c>
      <c r="J106" s="25">
        <v>3432</v>
      </c>
    </row>
    <row r="107" spans="1:11" ht="38.25">
      <c r="A107" s="22" t="s">
        <v>111</v>
      </c>
      <c r="B107" s="23" t="s">
        <v>112</v>
      </c>
      <c r="C107" s="23"/>
      <c r="D107" s="23"/>
      <c r="E107" s="23"/>
      <c r="F107" s="24">
        <v>1000</v>
      </c>
      <c r="G107" s="24">
        <f t="shared" si="11"/>
        <v>0</v>
      </c>
      <c r="H107" s="24">
        <v>1000</v>
      </c>
      <c r="I107" s="24">
        <v>1000</v>
      </c>
      <c r="J107" s="25">
        <v>1000</v>
      </c>
    </row>
    <row r="108" spans="1:11" ht="76.5">
      <c r="A108" s="26" t="s">
        <v>504</v>
      </c>
      <c r="B108" s="27" t="s">
        <v>112</v>
      </c>
      <c r="C108" s="27" t="s">
        <v>69</v>
      </c>
      <c r="D108" s="27" t="s">
        <v>390</v>
      </c>
      <c r="E108" s="27" t="s">
        <v>382</v>
      </c>
      <c r="F108" s="24">
        <v>1000</v>
      </c>
      <c r="G108" s="24">
        <f t="shared" si="11"/>
        <v>0</v>
      </c>
      <c r="H108" s="24">
        <v>1000</v>
      </c>
      <c r="I108" s="24">
        <v>1000</v>
      </c>
      <c r="J108" s="25">
        <v>1000</v>
      </c>
    </row>
    <row r="109" spans="1:11" ht="102">
      <c r="A109" s="22" t="s">
        <v>113</v>
      </c>
      <c r="B109" s="23" t="s">
        <v>114</v>
      </c>
      <c r="C109" s="23"/>
      <c r="D109" s="23"/>
      <c r="E109" s="23"/>
      <c r="F109" s="24">
        <v>100</v>
      </c>
      <c r="G109" s="24">
        <f t="shared" si="11"/>
        <v>0</v>
      </c>
      <c r="H109" s="24">
        <v>100</v>
      </c>
      <c r="I109" s="24">
        <v>100</v>
      </c>
      <c r="J109" s="25">
        <v>100</v>
      </c>
    </row>
    <row r="110" spans="1:11" ht="140.25">
      <c r="A110" s="26" t="s">
        <v>430</v>
      </c>
      <c r="B110" s="27" t="s">
        <v>114</v>
      </c>
      <c r="C110" s="27" t="s">
        <v>37</v>
      </c>
      <c r="D110" s="27" t="s">
        <v>390</v>
      </c>
      <c r="E110" s="27" t="s">
        <v>382</v>
      </c>
      <c r="F110" s="24">
        <v>100</v>
      </c>
      <c r="G110" s="24">
        <f t="shared" si="11"/>
        <v>0</v>
      </c>
      <c r="H110" s="24">
        <v>100</v>
      </c>
      <c r="I110" s="24">
        <v>100</v>
      </c>
      <c r="J110" s="25">
        <v>0</v>
      </c>
    </row>
    <row r="111" spans="1:11" ht="140.25">
      <c r="A111" s="26" t="s">
        <v>505</v>
      </c>
      <c r="B111" s="27" t="s">
        <v>114</v>
      </c>
      <c r="C111" s="27" t="s">
        <v>69</v>
      </c>
      <c r="D111" s="27" t="s">
        <v>390</v>
      </c>
      <c r="E111" s="27" t="s">
        <v>382</v>
      </c>
      <c r="F111" s="24">
        <v>0</v>
      </c>
      <c r="G111" s="24">
        <f t="shared" si="11"/>
        <v>0</v>
      </c>
      <c r="H111" s="24">
        <v>0</v>
      </c>
      <c r="I111" s="24">
        <v>0</v>
      </c>
      <c r="J111" s="25">
        <v>100</v>
      </c>
    </row>
    <row r="112" spans="1:11" ht="25.5">
      <c r="A112" s="22" t="s">
        <v>115</v>
      </c>
      <c r="B112" s="23" t="s">
        <v>116</v>
      </c>
      <c r="C112" s="23"/>
      <c r="D112" s="23"/>
      <c r="E112" s="23"/>
      <c r="F112" s="24">
        <v>39407.9</v>
      </c>
      <c r="G112" s="24">
        <f t="shared" si="11"/>
        <v>0</v>
      </c>
      <c r="H112" s="24">
        <v>39407.9</v>
      </c>
      <c r="I112" s="24">
        <v>17000</v>
      </c>
      <c r="J112" s="25">
        <v>16000</v>
      </c>
    </row>
    <row r="113" spans="1:10" ht="63.75">
      <c r="A113" s="26" t="s">
        <v>431</v>
      </c>
      <c r="B113" s="27" t="s">
        <v>116</v>
      </c>
      <c r="C113" s="27" t="s">
        <v>37</v>
      </c>
      <c r="D113" s="27" t="s">
        <v>390</v>
      </c>
      <c r="E113" s="27" t="s">
        <v>379</v>
      </c>
      <c r="F113" s="24">
        <v>0</v>
      </c>
      <c r="G113" s="24">
        <f t="shared" si="11"/>
        <v>0</v>
      </c>
      <c r="H113" s="24">
        <v>0</v>
      </c>
      <c r="I113" s="24">
        <v>17000</v>
      </c>
      <c r="J113" s="25">
        <v>16000</v>
      </c>
    </row>
    <row r="114" spans="1:10" ht="63.75">
      <c r="A114" s="26" t="s">
        <v>506</v>
      </c>
      <c r="B114" s="27" t="s">
        <v>116</v>
      </c>
      <c r="C114" s="27" t="s">
        <v>69</v>
      </c>
      <c r="D114" s="27" t="s">
        <v>390</v>
      </c>
      <c r="E114" s="27" t="s">
        <v>382</v>
      </c>
      <c r="F114" s="24">
        <v>39407.9</v>
      </c>
      <c r="G114" s="24">
        <f t="shared" si="11"/>
        <v>0</v>
      </c>
      <c r="H114" s="24">
        <v>39407.9</v>
      </c>
      <c r="I114" s="24">
        <v>0</v>
      </c>
      <c r="J114" s="25">
        <v>0</v>
      </c>
    </row>
    <row r="115" spans="1:10" ht="25.5">
      <c r="A115" s="22" t="s">
        <v>117</v>
      </c>
      <c r="B115" s="23" t="s">
        <v>118</v>
      </c>
      <c r="C115" s="23"/>
      <c r="D115" s="23"/>
      <c r="E115" s="23"/>
      <c r="F115" s="24">
        <v>357976.2</v>
      </c>
      <c r="G115" s="24">
        <f t="shared" si="11"/>
        <v>100</v>
      </c>
      <c r="H115" s="24">
        <v>358076.2</v>
      </c>
      <c r="I115" s="24">
        <v>233644.4</v>
      </c>
      <c r="J115" s="25">
        <v>219619.9</v>
      </c>
    </row>
    <row r="116" spans="1:10" ht="63.75">
      <c r="A116" s="26" t="s">
        <v>507</v>
      </c>
      <c r="B116" s="27" t="s">
        <v>118</v>
      </c>
      <c r="C116" s="27" t="s">
        <v>69</v>
      </c>
      <c r="D116" s="27" t="s">
        <v>390</v>
      </c>
      <c r="E116" s="27" t="s">
        <v>388</v>
      </c>
      <c r="F116" s="24">
        <v>357976.2</v>
      </c>
      <c r="G116" s="24">
        <f t="shared" si="11"/>
        <v>100</v>
      </c>
      <c r="H116" s="24">
        <v>358076.2</v>
      </c>
      <c r="I116" s="24">
        <v>233644.4</v>
      </c>
      <c r="J116" s="25">
        <v>219619.9</v>
      </c>
    </row>
    <row r="117" spans="1:10" ht="51">
      <c r="A117" s="22" t="s">
        <v>119</v>
      </c>
      <c r="B117" s="23" t="s">
        <v>120</v>
      </c>
      <c r="C117" s="23"/>
      <c r="D117" s="23"/>
      <c r="E117" s="23"/>
      <c r="F117" s="24">
        <v>5359.3939399999999</v>
      </c>
      <c r="G117" s="24">
        <f t="shared" si="11"/>
        <v>0</v>
      </c>
      <c r="H117" s="24">
        <v>5359.3939399999999</v>
      </c>
      <c r="I117" s="24">
        <v>5573.7373699999998</v>
      </c>
      <c r="J117" s="25">
        <v>5796.7676799999999</v>
      </c>
    </row>
    <row r="118" spans="1:10" ht="76.5">
      <c r="A118" s="26" t="s">
        <v>432</v>
      </c>
      <c r="B118" s="27" t="s">
        <v>120</v>
      </c>
      <c r="C118" s="27" t="s">
        <v>37</v>
      </c>
      <c r="D118" s="27" t="s">
        <v>390</v>
      </c>
      <c r="E118" s="27" t="s">
        <v>382</v>
      </c>
      <c r="F118" s="24">
        <v>1542.12121</v>
      </c>
      <c r="G118" s="24">
        <f t="shared" si="11"/>
        <v>0</v>
      </c>
      <c r="H118" s="24">
        <v>1542.12121</v>
      </c>
      <c r="I118" s="24">
        <v>1603.7373700000001</v>
      </c>
      <c r="J118" s="25">
        <v>1667.8797999999999</v>
      </c>
    </row>
    <row r="119" spans="1:10" ht="76.5">
      <c r="A119" s="26" t="s">
        <v>508</v>
      </c>
      <c r="B119" s="27" t="s">
        <v>120</v>
      </c>
      <c r="C119" s="27" t="s">
        <v>69</v>
      </c>
      <c r="D119" s="27" t="s">
        <v>390</v>
      </c>
      <c r="E119" s="27" t="s">
        <v>382</v>
      </c>
      <c r="F119" s="24">
        <v>3817.2727300000001</v>
      </c>
      <c r="G119" s="24">
        <f t="shared" si="11"/>
        <v>0</v>
      </c>
      <c r="H119" s="24">
        <v>3817.2727300000001</v>
      </c>
      <c r="I119" s="24">
        <v>3970</v>
      </c>
      <c r="J119" s="25">
        <v>4128.8878800000002</v>
      </c>
    </row>
    <row r="120" spans="1:10" ht="25.5">
      <c r="A120" s="18" t="s">
        <v>121</v>
      </c>
      <c r="B120" s="19" t="s">
        <v>122</v>
      </c>
      <c r="C120" s="19"/>
      <c r="D120" s="19"/>
      <c r="E120" s="19"/>
      <c r="F120" s="20">
        <v>57933.411999999997</v>
      </c>
      <c r="G120" s="20">
        <f>SUM(H120-F120)</f>
        <v>124.70000000000437</v>
      </c>
      <c r="H120" s="20">
        <v>58058.112000000001</v>
      </c>
      <c r="I120" s="20">
        <v>65035.4</v>
      </c>
      <c r="J120" s="21">
        <v>0</v>
      </c>
    </row>
    <row r="121" spans="1:10" ht="38.25">
      <c r="A121" s="22" t="s">
        <v>123</v>
      </c>
      <c r="B121" s="23" t="s">
        <v>124</v>
      </c>
      <c r="C121" s="23"/>
      <c r="D121" s="23"/>
      <c r="E121" s="23"/>
      <c r="F121" s="24">
        <v>57933.411999999997</v>
      </c>
      <c r="G121" s="24">
        <f t="shared" ref="G121:G123" si="12">SUM(H121-F121)</f>
        <v>124.70000000000437</v>
      </c>
      <c r="H121" s="24">
        <v>58058.112000000001</v>
      </c>
      <c r="I121" s="24">
        <v>65035.4</v>
      </c>
      <c r="J121" s="25">
        <v>0</v>
      </c>
    </row>
    <row r="122" spans="1:10" ht="63.75">
      <c r="A122" s="26" t="s">
        <v>433</v>
      </c>
      <c r="B122" s="27" t="s">
        <v>124</v>
      </c>
      <c r="C122" s="27" t="s">
        <v>37</v>
      </c>
      <c r="D122" s="27" t="s">
        <v>390</v>
      </c>
      <c r="E122" s="27" t="s">
        <v>382</v>
      </c>
      <c r="F122" s="24">
        <v>0</v>
      </c>
      <c r="G122" s="24">
        <f t="shared" si="12"/>
        <v>0</v>
      </c>
      <c r="H122" s="24">
        <v>0</v>
      </c>
      <c r="I122" s="24">
        <v>65035.4</v>
      </c>
      <c r="J122" s="25">
        <v>0</v>
      </c>
    </row>
    <row r="123" spans="1:10" ht="76.5">
      <c r="A123" s="26" t="s">
        <v>509</v>
      </c>
      <c r="B123" s="27" t="s">
        <v>124</v>
      </c>
      <c r="C123" s="27" t="s">
        <v>69</v>
      </c>
      <c r="D123" s="27" t="s">
        <v>390</v>
      </c>
      <c r="E123" s="27" t="s">
        <v>382</v>
      </c>
      <c r="F123" s="24">
        <v>57933.411999999997</v>
      </c>
      <c r="G123" s="24">
        <f t="shared" si="12"/>
        <v>124.70000000000437</v>
      </c>
      <c r="H123" s="24">
        <v>58058.112000000001</v>
      </c>
      <c r="I123" s="24">
        <v>0</v>
      </c>
      <c r="J123" s="25">
        <v>0</v>
      </c>
    </row>
    <row r="124" spans="1:10" ht="25.5">
      <c r="A124" s="18" t="s">
        <v>125</v>
      </c>
      <c r="B124" s="19" t="s">
        <v>126</v>
      </c>
      <c r="C124" s="19"/>
      <c r="D124" s="19"/>
      <c r="E124" s="19"/>
      <c r="F124" s="20">
        <v>26455.287</v>
      </c>
      <c r="G124" s="20">
        <f>SUM(H124-F124)</f>
        <v>0</v>
      </c>
      <c r="H124" s="20">
        <v>26455.287</v>
      </c>
      <c r="I124" s="20">
        <v>26471.467000000001</v>
      </c>
      <c r="J124" s="21">
        <v>26491.045999999998</v>
      </c>
    </row>
    <row r="125" spans="1:10" ht="165.75">
      <c r="A125" s="22" t="s">
        <v>127</v>
      </c>
      <c r="B125" s="23" t="s">
        <v>128</v>
      </c>
      <c r="C125" s="23"/>
      <c r="D125" s="23"/>
      <c r="E125" s="23"/>
      <c r="F125" s="24">
        <v>859.32</v>
      </c>
      <c r="G125" s="24">
        <f t="shared" ref="G125:G132" si="13">SUM(H125-F125)</f>
        <v>0</v>
      </c>
      <c r="H125" s="24">
        <v>859.32</v>
      </c>
      <c r="I125" s="24">
        <v>859.32</v>
      </c>
      <c r="J125" s="25">
        <v>859.32</v>
      </c>
    </row>
    <row r="126" spans="1:10" ht="242.25">
      <c r="A126" s="26" t="s">
        <v>404</v>
      </c>
      <c r="B126" s="27" t="s">
        <v>128</v>
      </c>
      <c r="C126" s="27" t="s">
        <v>30</v>
      </c>
      <c r="D126" s="27" t="s">
        <v>390</v>
      </c>
      <c r="E126" s="27" t="s">
        <v>388</v>
      </c>
      <c r="F126" s="24">
        <v>390.6</v>
      </c>
      <c r="G126" s="24">
        <f t="shared" si="13"/>
        <v>0</v>
      </c>
      <c r="H126" s="24">
        <v>390.6</v>
      </c>
      <c r="I126" s="24">
        <v>390.6</v>
      </c>
      <c r="J126" s="25">
        <v>390.6</v>
      </c>
    </row>
    <row r="127" spans="1:10" ht="204">
      <c r="A127" s="26" t="s">
        <v>510</v>
      </c>
      <c r="B127" s="27" t="s">
        <v>128</v>
      </c>
      <c r="C127" s="27" t="s">
        <v>69</v>
      </c>
      <c r="D127" s="27" t="s">
        <v>390</v>
      </c>
      <c r="E127" s="27" t="s">
        <v>388</v>
      </c>
      <c r="F127" s="24">
        <v>468.72</v>
      </c>
      <c r="G127" s="24">
        <f t="shared" si="13"/>
        <v>0</v>
      </c>
      <c r="H127" s="24">
        <v>468.72</v>
      </c>
      <c r="I127" s="24">
        <v>468.72</v>
      </c>
      <c r="J127" s="25">
        <v>468.72</v>
      </c>
    </row>
    <row r="128" spans="1:10" ht="63.75">
      <c r="A128" s="22" t="s">
        <v>129</v>
      </c>
      <c r="B128" s="23" t="s">
        <v>130</v>
      </c>
      <c r="C128" s="23"/>
      <c r="D128" s="23"/>
      <c r="E128" s="23"/>
      <c r="F128" s="24">
        <v>1066.2670000000001</v>
      </c>
      <c r="G128" s="24">
        <f t="shared" si="13"/>
        <v>0</v>
      </c>
      <c r="H128" s="24">
        <v>1066.2670000000001</v>
      </c>
      <c r="I128" s="24">
        <v>1082.4469999999999</v>
      </c>
      <c r="J128" s="25">
        <v>1102.0260000000001</v>
      </c>
    </row>
    <row r="129" spans="1:11" ht="102">
      <c r="A129" s="26" t="s">
        <v>511</v>
      </c>
      <c r="B129" s="27" t="s">
        <v>130</v>
      </c>
      <c r="C129" s="27" t="s">
        <v>69</v>
      </c>
      <c r="D129" s="27" t="s">
        <v>390</v>
      </c>
      <c r="E129" s="27" t="s">
        <v>388</v>
      </c>
      <c r="F129" s="24">
        <v>1066.2670000000001</v>
      </c>
      <c r="G129" s="24">
        <f t="shared" si="13"/>
        <v>0</v>
      </c>
      <c r="H129" s="24">
        <v>1066.2670000000001</v>
      </c>
      <c r="I129" s="24">
        <v>1082.4469999999999</v>
      </c>
      <c r="J129" s="25">
        <v>1102.0260000000001</v>
      </c>
    </row>
    <row r="130" spans="1:11" ht="140.25">
      <c r="A130" s="22" t="s">
        <v>131</v>
      </c>
      <c r="B130" s="23" t="s">
        <v>132</v>
      </c>
      <c r="C130" s="23"/>
      <c r="D130" s="23"/>
      <c r="E130" s="23"/>
      <c r="F130" s="24">
        <v>24529.7</v>
      </c>
      <c r="G130" s="24">
        <f t="shared" si="13"/>
        <v>0</v>
      </c>
      <c r="H130" s="24">
        <v>24529.7</v>
      </c>
      <c r="I130" s="24">
        <v>24529.7</v>
      </c>
      <c r="J130" s="25">
        <v>24529.7</v>
      </c>
    </row>
    <row r="131" spans="1:11" ht="216.75">
      <c r="A131" s="26" t="s">
        <v>405</v>
      </c>
      <c r="B131" s="27" t="s">
        <v>132</v>
      </c>
      <c r="C131" s="27" t="s">
        <v>30</v>
      </c>
      <c r="D131" s="27" t="s">
        <v>390</v>
      </c>
      <c r="E131" s="27" t="s">
        <v>382</v>
      </c>
      <c r="F131" s="24">
        <v>8593.2199999999993</v>
      </c>
      <c r="G131" s="24">
        <f t="shared" si="13"/>
        <v>0</v>
      </c>
      <c r="H131" s="24">
        <v>8593.2199999999993</v>
      </c>
      <c r="I131" s="24">
        <v>8593.2199999999993</v>
      </c>
      <c r="J131" s="25">
        <v>8593.2199999999993</v>
      </c>
    </row>
    <row r="132" spans="1:11" ht="178.5">
      <c r="A132" s="26" t="s">
        <v>512</v>
      </c>
      <c r="B132" s="27" t="s">
        <v>132</v>
      </c>
      <c r="C132" s="27" t="s">
        <v>69</v>
      </c>
      <c r="D132" s="27" t="s">
        <v>390</v>
      </c>
      <c r="E132" s="27" t="s">
        <v>382</v>
      </c>
      <c r="F132" s="24">
        <v>15936.48</v>
      </c>
      <c r="G132" s="24">
        <f t="shared" si="13"/>
        <v>0</v>
      </c>
      <c r="H132" s="24">
        <v>15936.48</v>
      </c>
      <c r="I132" s="24">
        <v>15936.48</v>
      </c>
      <c r="J132" s="25">
        <v>15936.48</v>
      </c>
    </row>
    <row r="133" spans="1:11" ht="25.5">
      <c r="A133" s="14" t="s">
        <v>133</v>
      </c>
      <c r="B133" s="15" t="s">
        <v>134</v>
      </c>
      <c r="C133" s="15"/>
      <c r="D133" s="15"/>
      <c r="E133" s="15"/>
      <c r="F133" s="16">
        <v>51697.8</v>
      </c>
      <c r="G133" s="16">
        <f>SUM(H133-F133)</f>
        <v>2424.8820399999968</v>
      </c>
      <c r="H133" s="43">
        <f>51813.48204+2309.2</f>
        <v>54122.68204</v>
      </c>
      <c r="I133" s="16">
        <v>53885.599999999999</v>
      </c>
      <c r="J133" s="17">
        <v>66632.2</v>
      </c>
    </row>
    <row r="134" spans="1:11" ht="51">
      <c r="A134" s="18" t="s">
        <v>135</v>
      </c>
      <c r="B134" s="19" t="s">
        <v>136</v>
      </c>
      <c r="C134" s="19"/>
      <c r="D134" s="19"/>
      <c r="E134" s="19"/>
      <c r="F134" s="20">
        <v>50905.4</v>
      </c>
      <c r="G134" s="20">
        <f>SUM(H134-F134)</f>
        <v>2419.2333399999989</v>
      </c>
      <c r="H134" s="42">
        <f>51015.43334+2309.2</f>
        <v>53324.63334</v>
      </c>
      <c r="I134" s="20">
        <v>53061.8</v>
      </c>
      <c r="J134" s="21">
        <v>65775</v>
      </c>
    </row>
    <row r="135" spans="1:11" ht="89.25">
      <c r="A135" s="22" t="s">
        <v>137</v>
      </c>
      <c r="B135" s="23" t="s">
        <v>138</v>
      </c>
      <c r="C135" s="23"/>
      <c r="D135" s="23"/>
      <c r="E135" s="23"/>
      <c r="F135" s="24">
        <v>0</v>
      </c>
      <c r="G135" s="24">
        <f t="shared" ref="G135:G142" si="14">SUM(H135-F135)</f>
        <v>93</v>
      </c>
      <c r="H135" s="24">
        <v>93</v>
      </c>
      <c r="I135" s="24">
        <v>0</v>
      </c>
      <c r="J135" s="25">
        <v>0</v>
      </c>
    </row>
    <row r="136" spans="1:11" ht="114.75">
      <c r="A136" s="26" t="s">
        <v>513</v>
      </c>
      <c r="B136" s="27" t="s">
        <v>138</v>
      </c>
      <c r="C136" s="27" t="s">
        <v>69</v>
      </c>
      <c r="D136" s="27" t="s">
        <v>390</v>
      </c>
      <c r="E136" s="27" t="s">
        <v>384</v>
      </c>
      <c r="F136" s="24">
        <v>0</v>
      </c>
      <c r="G136" s="24">
        <f t="shared" si="14"/>
        <v>93</v>
      </c>
      <c r="H136" s="24">
        <v>93</v>
      </c>
      <c r="I136" s="24">
        <v>0</v>
      </c>
      <c r="J136" s="25">
        <v>0</v>
      </c>
    </row>
    <row r="137" spans="1:11" ht="89.25">
      <c r="A137" s="22" t="s">
        <v>139</v>
      </c>
      <c r="B137" s="23" t="s">
        <v>140</v>
      </c>
      <c r="C137" s="23"/>
      <c r="D137" s="23"/>
      <c r="E137" s="23"/>
      <c r="F137" s="24">
        <v>50905.4</v>
      </c>
      <c r="G137" s="24">
        <f t="shared" si="14"/>
        <v>2326.2333399999989</v>
      </c>
      <c r="H137" s="24">
        <f>50922.43334+2309.2</f>
        <v>53231.63334</v>
      </c>
      <c r="I137" s="24">
        <v>53061.8</v>
      </c>
      <c r="J137" s="25">
        <v>65775</v>
      </c>
      <c r="K137" s="1">
        <v>2309.1999999999998</v>
      </c>
    </row>
    <row r="138" spans="1:11" ht="165.75">
      <c r="A138" s="26" t="s">
        <v>406</v>
      </c>
      <c r="B138" s="27" t="s">
        <v>140</v>
      </c>
      <c r="C138" s="27" t="s">
        <v>30</v>
      </c>
      <c r="D138" s="27" t="s">
        <v>390</v>
      </c>
      <c r="E138" s="27" t="s">
        <v>384</v>
      </c>
      <c r="F138" s="24">
        <v>19849</v>
      </c>
      <c r="G138" s="24">
        <f t="shared" si="14"/>
        <v>978.59999999999854</v>
      </c>
      <c r="H138" s="24">
        <f>19849+978.6</f>
        <v>20827.599999999999</v>
      </c>
      <c r="I138" s="24">
        <v>20716.400000000001</v>
      </c>
      <c r="J138" s="25">
        <v>21544.9</v>
      </c>
      <c r="K138" s="1">
        <v>978.6</v>
      </c>
    </row>
    <row r="139" spans="1:11" ht="127.5">
      <c r="A139" s="26" t="s">
        <v>434</v>
      </c>
      <c r="B139" s="27" t="s">
        <v>140</v>
      </c>
      <c r="C139" s="27" t="s">
        <v>37</v>
      </c>
      <c r="D139" s="27" t="s">
        <v>390</v>
      </c>
      <c r="E139" s="27" t="s">
        <v>384</v>
      </c>
      <c r="F139" s="24">
        <v>2390.8000000000002</v>
      </c>
      <c r="G139" s="24">
        <f t="shared" si="14"/>
        <v>17.033339999999953</v>
      </c>
      <c r="H139" s="24">
        <v>2407.8333400000001</v>
      </c>
      <c r="I139" s="24">
        <v>2513.1999999999998</v>
      </c>
      <c r="J139" s="25">
        <v>2257.5</v>
      </c>
    </row>
    <row r="140" spans="1:11" ht="114.75">
      <c r="A140" s="26" t="s">
        <v>462</v>
      </c>
      <c r="B140" s="27" t="s">
        <v>140</v>
      </c>
      <c r="C140" s="27" t="s">
        <v>84</v>
      </c>
      <c r="D140" s="27" t="s">
        <v>390</v>
      </c>
      <c r="E140" s="27" t="s">
        <v>384</v>
      </c>
      <c r="F140" s="24">
        <v>10</v>
      </c>
      <c r="G140" s="24">
        <f t="shared" si="14"/>
        <v>0</v>
      </c>
      <c r="H140" s="24">
        <v>10</v>
      </c>
      <c r="I140" s="24">
        <v>10.4</v>
      </c>
      <c r="J140" s="25">
        <v>10.8</v>
      </c>
    </row>
    <row r="141" spans="1:11" ht="127.5">
      <c r="A141" s="26" t="s">
        <v>514</v>
      </c>
      <c r="B141" s="27" t="s">
        <v>140</v>
      </c>
      <c r="C141" s="27" t="s">
        <v>69</v>
      </c>
      <c r="D141" s="27" t="s">
        <v>390</v>
      </c>
      <c r="E141" s="27" t="s">
        <v>384</v>
      </c>
      <c r="F141" s="24">
        <v>28650.9</v>
      </c>
      <c r="G141" s="24">
        <f t="shared" si="14"/>
        <v>1330.2999999999993</v>
      </c>
      <c r="H141" s="41">
        <f>28650.9+1330.3</f>
        <v>29981.200000000001</v>
      </c>
      <c r="I141" s="24">
        <v>29817.1</v>
      </c>
      <c r="J141" s="25">
        <v>41957.1</v>
      </c>
      <c r="K141" s="1">
        <v>1330.3</v>
      </c>
    </row>
    <row r="142" spans="1:11" ht="102">
      <c r="A142" s="26" t="s">
        <v>530</v>
      </c>
      <c r="B142" s="27" t="s">
        <v>140</v>
      </c>
      <c r="C142" s="27" t="s">
        <v>62</v>
      </c>
      <c r="D142" s="27" t="s">
        <v>390</v>
      </c>
      <c r="E142" s="27" t="s">
        <v>384</v>
      </c>
      <c r="F142" s="24">
        <v>4.7</v>
      </c>
      <c r="G142" s="24">
        <f t="shared" si="14"/>
        <v>0</v>
      </c>
      <c r="H142" s="24">
        <v>4.7</v>
      </c>
      <c r="I142" s="24">
        <v>4.7</v>
      </c>
      <c r="J142" s="25">
        <v>4.7</v>
      </c>
    </row>
    <row r="143" spans="1:11" ht="38.25">
      <c r="A143" s="18" t="s">
        <v>141</v>
      </c>
      <c r="B143" s="19" t="s">
        <v>142</v>
      </c>
      <c r="C143" s="19"/>
      <c r="D143" s="19"/>
      <c r="E143" s="19"/>
      <c r="F143" s="20">
        <v>792.4</v>
      </c>
      <c r="G143" s="20">
        <f>SUM(H143-F143)</f>
        <v>5.6487000000000762</v>
      </c>
      <c r="H143" s="20">
        <v>798.04870000000005</v>
      </c>
      <c r="I143" s="20">
        <v>823.8</v>
      </c>
      <c r="J143" s="21">
        <v>857.2</v>
      </c>
    </row>
    <row r="144" spans="1:11" ht="76.5">
      <c r="A144" s="22" t="s">
        <v>143</v>
      </c>
      <c r="B144" s="23" t="s">
        <v>144</v>
      </c>
      <c r="C144" s="23"/>
      <c r="D144" s="23"/>
      <c r="E144" s="23"/>
      <c r="F144" s="24">
        <v>792.4</v>
      </c>
      <c r="G144" s="24">
        <f t="shared" ref="G144:G147" si="15">SUM(H144-F144)</f>
        <v>5.6487000000000762</v>
      </c>
      <c r="H144" s="24">
        <v>798.04870000000005</v>
      </c>
      <c r="I144" s="24">
        <v>823.8</v>
      </c>
      <c r="J144" s="25">
        <v>857.2</v>
      </c>
    </row>
    <row r="145" spans="1:10" ht="102">
      <c r="A145" s="26" t="s">
        <v>435</v>
      </c>
      <c r="B145" s="27" t="s">
        <v>144</v>
      </c>
      <c r="C145" s="27" t="s">
        <v>37</v>
      </c>
      <c r="D145" s="27" t="s">
        <v>390</v>
      </c>
      <c r="E145" s="27" t="s">
        <v>388</v>
      </c>
      <c r="F145" s="24">
        <v>672.4</v>
      </c>
      <c r="G145" s="24">
        <f t="shared" si="15"/>
        <v>-158.19195999999999</v>
      </c>
      <c r="H145" s="24">
        <v>514.20803999999998</v>
      </c>
      <c r="I145" s="24">
        <v>703.8</v>
      </c>
      <c r="J145" s="25">
        <v>732.2</v>
      </c>
    </row>
    <row r="146" spans="1:10" ht="89.25">
      <c r="A146" s="26" t="s">
        <v>463</v>
      </c>
      <c r="B146" s="27" t="s">
        <v>144</v>
      </c>
      <c r="C146" s="27" t="s">
        <v>84</v>
      </c>
      <c r="D146" s="27" t="s">
        <v>390</v>
      </c>
      <c r="E146" s="27" t="s">
        <v>388</v>
      </c>
      <c r="F146" s="24">
        <v>120</v>
      </c>
      <c r="G146" s="24">
        <f t="shared" si="15"/>
        <v>-70</v>
      </c>
      <c r="H146" s="24">
        <v>50</v>
      </c>
      <c r="I146" s="24">
        <v>120</v>
      </c>
      <c r="J146" s="25">
        <v>125</v>
      </c>
    </row>
    <row r="147" spans="1:10" ht="102">
      <c r="A147" s="26" t="s">
        <v>515</v>
      </c>
      <c r="B147" s="27" t="s">
        <v>144</v>
      </c>
      <c r="C147" s="27" t="s">
        <v>69</v>
      </c>
      <c r="D147" s="27" t="s">
        <v>390</v>
      </c>
      <c r="E147" s="27" t="s">
        <v>388</v>
      </c>
      <c r="F147" s="24">
        <v>0</v>
      </c>
      <c r="G147" s="24">
        <f t="shared" si="15"/>
        <v>233.84066000000001</v>
      </c>
      <c r="H147" s="24">
        <v>233.84066000000001</v>
      </c>
      <c r="I147" s="24">
        <v>0</v>
      </c>
      <c r="J147" s="25">
        <v>0</v>
      </c>
    </row>
    <row r="148" spans="1:10" ht="25.5">
      <c r="A148" s="14" t="s">
        <v>145</v>
      </c>
      <c r="B148" s="15" t="s">
        <v>146</v>
      </c>
      <c r="C148" s="15"/>
      <c r="D148" s="15"/>
      <c r="E148" s="15"/>
      <c r="F148" s="16">
        <v>8601.2999999999993</v>
      </c>
      <c r="G148" s="20">
        <f>SUM(H148-F148)</f>
        <v>0</v>
      </c>
      <c r="H148" s="16">
        <v>8601.2999999999993</v>
      </c>
      <c r="I148" s="16">
        <v>8957.1</v>
      </c>
      <c r="J148" s="17">
        <v>9368.1</v>
      </c>
    </row>
    <row r="149" spans="1:10" ht="63.75">
      <c r="A149" s="18" t="s">
        <v>147</v>
      </c>
      <c r="B149" s="19" t="s">
        <v>148</v>
      </c>
      <c r="C149" s="19"/>
      <c r="D149" s="19"/>
      <c r="E149" s="19"/>
      <c r="F149" s="20">
        <v>768.3</v>
      </c>
      <c r="G149" s="20">
        <f>SUM(H149-F149)</f>
        <v>0</v>
      </c>
      <c r="H149" s="20">
        <v>768.3</v>
      </c>
      <c r="I149" s="20">
        <v>876.7</v>
      </c>
      <c r="J149" s="21">
        <v>911.6</v>
      </c>
    </row>
    <row r="150" spans="1:10" ht="89.25">
      <c r="A150" s="22" t="s">
        <v>538</v>
      </c>
      <c r="B150" s="23" t="s">
        <v>149</v>
      </c>
      <c r="C150" s="23"/>
      <c r="D150" s="23"/>
      <c r="E150" s="23"/>
      <c r="F150" s="24">
        <v>768.3</v>
      </c>
      <c r="G150" s="24">
        <f t="shared" ref="G150:G152" si="16">SUM(H150-F150)</f>
        <v>0</v>
      </c>
      <c r="H150" s="24">
        <v>768.3</v>
      </c>
      <c r="I150" s="24">
        <v>876.7</v>
      </c>
      <c r="J150" s="25">
        <v>911.6</v>
      </c>
    </row>
    <row r="151" spans="1:10" ht="114.75">
      <c r="A151" s="26" t="s">
        <v>436</v>
      </c>
      <c r="B151" s="27" t="s">
        <v>149</v>
      </c>
      <c r="C151" s="27" t="s">
        <v>37</v>
      </c>
      <c r="D151" s="27" t="s">
        <v>390</v>
      </c>
      <c r="E151" s="27" t="s">
        <v>390</v>
      </c>
      <c r="F151" s="24">
        <v>768.3</v>
      </c>
      <c r="G151" s="24">
        <f t="shared" si="16"/>
        <v>-14.371049999999968</v>
      </c>
      <c r="H151" s="24">
        <v>753.92894999999999</v>
      </c>
      <c r="I151" s="24">
        <v>876.7</v>
      </c>
      <c r="J151" s="25">
        <v>911.6</v>
      </c>
    </row>
    <row r="152" spans="1:10" ht="114.75">
      <c r="A152" s="26" t="s">
        <v>516</v>
      </c>
      <c r="B152" s="27" t="s">
        <v>149</v>
      </c>
      <c r="C152" s="27" t="s">
        <v>69</v>
      </c>
      <c r="D152" s="27" t="s">
        <v>390</v>
      </c>
      <c r="E152" s="27" t="s">
        <v>390</v>
      </c>
      <c r="F152" s="24">
        <v>0</v>
      </c>
      <c r="G152" s="24">
        <f t="shared" si="16"/>
        <v>14.37105</v>
      </c>
      <c r="H152" s="24">
        <v>14.37105</v>
      </c>
      <c r="I152" s="24">
        <v>0</v>
      </c>
      <c r="J152" s="25">
        <v>0</v>
      </c>
    </row>
    <row r="153" spans="1:10" ht="25.5">
      <c r="A153" s="18" t="s">
        <v>150</v>
      </c>
      <c r="B153" s="19" t="s">
        <v>151</v>
      </c>
      <c r="C153" s="19"/>
      <c r="D153" s="19"/>
      <c r="E153" s="19"/>
      <c r="F153" s="20">
        <v>7833</v>
      </c>
      <c r="G153" s="20">
        <f>SUM(H153-F153)</f>
        <v>0</v>
      </c>
      <c r="H153" s="20">
        <v>7833</v>
      </c>
      <c r="I153" s="20">
        <v>8080.4</v>
      </c>
      <c r="J153" s="21">
        <v>8456.5</v>
      </c>
    </row>
    <row r="154" spans="1:10">
      <c r="A154" s="22" t="s">
        <v>152</v>
      </c>
      <c r="B154" s="23" t="s">
        <v>153</v>
      </c>
      <c r="C154" s="23"/>
      <c r="D154" s="23"/>
      <c r="E154" s="23"/>
      <c r="F154" s="24">
        <v>70</v>
      </c>
      <c r="G154" s="24">
        <f>SUM(H154-F154)</f>
        <v>0</v>
      </c>
      <c r="H154" s="24">
        <v>70</v>
      </c>
      <c r="I154" s="24">
        <v>72.8</v>
      </c>
      <c r="J154" s="25">
        <v>75.599999999999994</v>
      </c>
    </row>
    <row r="155" spans="1:10" ht="51">
      <c r="A155" s="26" t="s">
        <v>437</v>
      </c>
      <c r="B155" s="27" t="s">
        <v>153</v>
      </c>
      <c r="C155" s="27" t="s">
        <v>37</v>
      </c>
      <c r="D155" s="27" t="s">
        <v>390</v>
      </c>
      <c r="E155" s="27" t="s">
        <v>390</v>
      </c>
      <c r="F155" s="24">
        <v>70</v>
      </c>
      <c r="G155" s="24">
        <f t="shared" ref="G155:G159" si="17">SUM(H155-F155)</f>
        <v>0</v>
      </c>
      <c r="H155" s="24">
        <v>70</v>
      </c>
      <c r="I155" s="24">
        <v>72.8</v>
      </c>
      <c r="J155" s="25">
        <v>75.599999999999994</v>
      </c>
    </row>
    <row r="156" spans="1:10" ht="89.25">
      <c r="A156" s="22" t="s">
        <v>154</v>
      </c>
      <c r="B156" s="23" t="s">
        <v>155</v>
      </c>
      <c r="C156" s="23"/>
      <c r="D156" s="23"/>
      <c r="E156" s="23"/>
      <c r="F156" s="24">
        <v>7644.5</v>
      </c>
      <c r="G156" s="24">
        <f t="shared" si="17"/>
        <v>0</v>
      </c>
      <c r="H156" s="24">
        <v>7644.5</v>
      </c>
      <c r="I156" s="24">
        <v>7852.3</v>
      </c>
      <c r="J156" s="25">
        <v>8173.7</v>
      </c>
    </row>
    <row r="157" spans="1:10" ht="114.75">
      <c r="A157" s="26" t="s">
        <v>438</v>
      </c>
      <c r="B157" s="27" t="s">
        <v>155</v>
      </c>
      <c r="C157" s="27" t="s">
        <v>37</v>
      </c>
      <c r="D157" s="27" t="s">
        <v>390</v>
      </c>
      <c r="E157" s="27" t="s">
        <v>388</v>
      </c>
      <c r="F157" s="24">
        <v>7644.5</v>
      </c>
      <c r="G157" s="24">
        <f t="shared" si="17"/>
        <v>0</v>
      </c>
      <c r="H157" s="24">
        <v>7644.5</v>
      </c>
      <c r="I157" s="24">
        <v>7852.3</v>
      </c>
      <c r="J157" s="25">
        <v>8173.7</v>
      </c>
    </row>
    <row r="158" spans="1:10" ht="76.5">
      <c r="A158" s="22" t="s">
        <v>156</v>
      </c>
      <c r="B158" s="23" t="s">
        <v>157</v>
      </c>
      <c r="C158" s="23"/>
      <c r="D158" s="23"/>
      <c r="E158" s="23"/>
      <c r="F158" s="24">
        <v>118.5</v>
      </c>
      <c r="G158" s="24">
        <f t="shared" si="17"/>
        <v>0</v>
      </c>
      <c r="H158" s="24">
        <v>118.5</v>
      </c>
      <c r="I158" s="24">
        <v>155.30000000000001</v>
      </c>
      <c r="J158" s="25">
        <v>207.2</v>
      </c>
    </row>
    <row r="159" spans="1:10" ht="89.25">
      <c r="A159" s="26" t="s">
        <v>464</v>
      </c>
      <c r="B159" s="27" t="s">
        <v>157</v>
      </c>
      <c r="C159" s="27" t="s">
        <v>84</v>
      </c>
      <c r="D159" s="27" t="s">
        <v>390</v>
      </c>
      <c r="E159" s="27" t="s">
        <v>388</v>
      </c>
      <c r="F159" s="24">
        <v>118.5</v>
      </c>
      <c r="G159" s="24">
        <f t="shared" si="17"/>
        <v>0</v>
      </c>
      <c r="H159" s="24">
        <v>118.5</v>
      </c>
      <c r="I159" s="24">
        <v>155.30000000000001</v>
      </c>
      <c r="J159" s="25">
        <v>207.2</v>
      </c>
    </row>
    <row r="160" spans="1:10" ht="25.5">
      <c r="A160" s="14" t="s">
        <v>158</v>
      </c>
      <c r="B160" s="15" t="s">
        <v>159</v>
      </c>
      <c r="C160" s="15"/>
      <c r="D160" s="15"/>
      <c r="E160" s="15"/>
      <c r="F160" s="16">
        <v>26198.400000000001</v>
      </c>
      <c r="G160" s="16">
        <f>SUM(H160-F160)</f>
        <v>2236.7000000000007</v>
      </c>
      <c r="H160" s="43">
        <f>26198.4+459.4+1777.3</f>
        <v>28435.100000000002</v>
      </c>
      <c r="I160" s="16">
        <v>26235.8</v>
      </c>
      <c r="J160" s="17">
        <v>27404.3</v>
      </c>
    </row>
    <row r="161" spans="1:11" ht="63.75">
      <c r="A161" s="18" t="s">
        <v>160</v>
      </c>
      <c r="B161" s="19" t="s">
        <v>161</v>
      </c>
      <c r="C161" s="19"/>
      <c r="D161" s="19"/>
      <c r="E161" s="19"/>
      <c r="F161" s="20">
        <v>5105.8999999999996</v>
      </c>
      <c r="G161" s="20">
        <f>SUM(H161-F161)</f>
        <v>459.39999999999964</v>
      </c>
      <c r="H161" s="20">
        <f>5105.9+459.4</f>
        <v>5565.2999999999993</v>
      </c>
      <c r="I161" s="20">
        <v>5345.5</v>
      </c>
      <c r="J161" s="21">
        <v>5559.4</v>
      </c>
    </row>
    <row r="162" spans="1:11" ht="127.5">
      <c r="A162" s="22" t="s">
        <v>162</v>
      </c>
      <c r="B162" s="23" t="s">
        <v>163</v>
      </c>
      <c r="C162" s="23"/>
      <c r="D162" s="23"/>
      <c r="E162" s="23"/>
      <c r="F162" s="24">
        <v>5105.8999999999996</v>
      </c>
      <c r="G162" s="24">
        <f t="shared" ref="G162:G164" si="18">SUM(H162-F162)</f>
        <v>459.39999999999964</v>
      </c>
      <c r="H162" s="41">
        <f>5105.9+459.4</f>
        <v>5565.2999999999993</v>
      </c>
      <c r="I162" s="24">
        <v>5345.5</v>
      </c>
      <c r="J162" s="25">
        <v>5559.4</v>
      </c>
    </row>
    <row r="163" spans="1:11" ht="204">
      <c r="A163" s="26" t="s">
        <v>407</v>
      </c>
      <c r="B163" s="27" t="s">
        <v>163</v>
      </c>
      <c r="C163" s="27" t="s">
        <v>30</v>
      </c>
      <c r="D163" s="27" t="s">
        <v>390</v>
      </c>
      <c r="E163" s="27" t="s">
        <v>388</v>
      </c>
      <c r="F163" s="24">
        <v>4555</v>
      </c>
      <c r="G163" s="24">
        <f t="shared" si="18"/>
        <v>459.39999999999964</v>
      </c>
      <c r="H163" s="41">
        <f>4555+459.4</f>
        <v>5014.3999999999996</v>
      </c>
      <c r="I163" s="24">
        <v>4754.2</v>
      </c>
      <c r="J163" s="25">
        <v>4944.3</v>
      </c>
      <c r="K163" s="1">
        <v>459.4</v>
      </c>
    </row>
    <row r="164" spans="1:11" ht="153">
      <c r="A164" s="26" t="s">
        <v>439</v>
      </c>
      <c r="B164" s="27" t="s">
        <v>163</v>
      </c>
      <c r="C164" s="27" t="s">
        <v>37</v>
      </c>
      <c r="D164" s="27" t="s">
        <v>390</v>
      </c>
      <c r="E164" s="27" t="s">
        <v>388</v>
      </c>
      <c r="F164" s="24">
        <v>550.9</v>
      </c>
      <c r="G164" s="24">
        <f t="shared" si="18"/>
        <v>0</v>
      </c>
      <c r="H164" s="24">
        <v>550.9</v>
      </c>
      <c r="I164" s="24">
        <v>591.29999999999995</v>
      </c>
      <c r="J164" s="25">
        <v>615.1</v>
      </c>
    </row>
    <row r="165" spans="1:11" ht="63.75">
      <c r="A165" s="18" t="s">
        <v>164</v>
      </c>
      <c r="B165" s="19" t="s">
        <v>165</v>
      </c>
      <c r="C165" s="19"/>
      <c r="D165" s="19"/>
      <c r="E165" s="19"/>
      <c r="F165" s="20">
        <v>21092.5</v>
      </c>
      <c r="G165" s="20">
        <f>SUM(H165-F165)</f>
        <v>1777.2999999999993</v>
      </c>
      <c r="H165" s="42">
        <f>21092.5+1777.3</f>
        <v>22869.8</v>
      </c>
      <c r="I165" s="20">
        <v>20890.3</v>
      </c>
      <c r="J165" s="21">
        <v>21844.9</v>
      </c>
    </row>
    <row r="166" spans="1:11" ht="102">
      <c r="A166" s="22" t="s">
        <v>166</v>
      </c>
      <c r="B166" s="23" t="s">
        <v>167</v>
      </c>
      <c r="C166" s="23"/>
      <c r="D166" s="23"/>
      <c r="E166" s="23"/>
      <c r="F166" s="24">
        <v>21092.5</v>
      </c>
      <c r="G166" s="24">
        <f>SUM(H166-F166)</f>
        <v>1777.2999999999993</v>
      </c>
      <c r="H166" s="41">
        <f>21092.5+1777.3</f>
        <v>22869.8</v>
      </c>
      <c r="I166" s="24">
        <v>20890.3</v>
      </c>
      <c r="J166" s="25">
        <v>21844.9</v>
      </c>
    </row>
    <row r="167" spans="1:11" ht="165.75">
      <c r="A167" s="26" t="s">
        <v>408</v>
      </c>
      <c r="B167" s="27" t="s">
        <v>167</v>
      </c>
      <c r="C167" s="27" t="s">
        <v>30</v>
      </c>
      <c r="D167" s="27" t="s">
        <v>390</v>
      </c>
      <c r="E167" s="27" t="s">
        <v>388</v>
      </c>
      <c r="F167" s="24">
        <v>17620.900000000001</v>
      </c>
      <c r="G167" s="24">
        <f t="shared" ref="G167:G168" si="19">SUM(H167-F167)</f>
        <v>1777.2999999999993</v>
      </c>
      <c r="H167" s="41">
        <f>17620.9+1777.3</f>
        <v>19398.2</v>
      </c>
      <c r="I167" s="24">
        <v>18390.900000000001</v>
      </c>
      <c r="J167" s="25">
        <v>19179.8</v>
      </c>
    </row>
    <row r="168" spans="1:11" ht="127.5">
      <c r="A168" s="26" t="s">
        <v>440</v>
      </c>
      <c r="B168" s="27" t="s">
        <v>167</v>
      </c>
      <c r="C168" s="27" t="s">
        <v>37</v>
      </c>
      <c r="D168" s="27" t="s">
        <v>390</v>
      </c>
      <c r="E168" s="27" t="s">
        <v>388</v>
      </c>
      <c r="F168" s="24">
        <v>3471.6</v>
      </c>
      <c r="G168" s="24">
        <f t="shared" si="19"/>
        <v>0</v>
      </c>
      <c r="H168" s="24">
        <v>3471.6</v>
      </c>
      <c r="I168" s="24">
        <v>2499.4</v>
      </c>
      <c r="J168" s="25">
        <v>2665.1</v>
      </c>
    </row>
    <row r="169" spans="1:11" ht="25.5">
      <c r="A169" s="14" t="s">
        <v>168</v>
      </c>
      <c r="B169" s="15" t="s">
        <v>169</v>
      </c>
      <c r="C169" s="15"/>
      <c r="D169" s="15"/>
      <c r="E169" s="15"/>
      <c r="F169" s="16">
        <v>53515.687420000002</v>
      </c>
      <c r="G169" s="16" t="e">
        <f>SUM(H169-F169)</f>
        <v>#VALUE!</v>
      </c>
      <c r="H169" s="43" t="s">
        <v>544</v>
      </c>
      <c r="I169" s="16">
        <v>46445.719469999996</v>
      </c>
      <c r="J169" s="17">
        <v>44489.519469999999</v>
      </c>
    </row>
    <row r="170" spans="1:11" ht="38.25">
      <c r="A170" s="18" t="s">
        <v>170</v>
      </c>
      <c r="B170" s="19" t="s">
        <v>171</v>
      </c>
      <c r="C170" s="19"/>
      <c r="D170" s="19"/>
      <c r="E170" s="19"/>
      <c r="F170" s="20">
        <v>963</v>
      </c>
      <c r="G170" s="20">
        <f>SUM(H170-F170)</f>
        <v>-5.6486999999999625</v>
      </c>
      <c r="H170" s="20">
        <v>957.35130000000004</v>
      </c>
      <c r="I170" s="20">
        <v>1001.5</v>
      </c>
      <c r="J170" s="21">
        <v>1040.8</v>
      </c>
    </row>
    <row r="171" spans="1:11" ht="76.5">
      <c r="A171" s="22" t="s">
        <v>172</v>
      </c>
      <c r="B171" s="23" t="s">
        <v>173</v>
      </c>
      <c r="C171" s="23"/>
      <c r="D171" s="23"/>
      <c r="E171" s="23"/>
      <c r="F171" s="24">
        <v>963</v>
      </c>
      <c r="G171" s="24">
        <f t="shared" ref="G171:G173" si="20">SUM(H171-F171)</f>
        <v>-5.6486999999999625</v>
      </c>
      <c r="H171" s="24">
        <v>957.35130000000004</v>
      </c>
      <c r="I171" s="24">
        <v>1001.5</v>
      </c>
      <c r="J171" s="25">
        <v>1040.8</v>
      </c>
    </row>
    <row r="172" spans="1:11" ht="114.75">
      <c r="A172" s="26" t="s">
        <v>441</v>
      </c>
      <c r="B172" s="27" t="s">
        <v>173</v>
      </c>
      <c r="C172" s="27" t="s">
        <v>37</v>
      </c>
      <c r="D172" s="27" t="s">
        <v>385</v>
      </c>
      <c r="E172" s="27" t="s">
        <v>379</v>
      </c>
      <c r="F172" s="24">
        <v>963</v>
      </c>
      <c r="G172" s="24">
        <f t="shared" si="20"/>
        <v>-153.51796000000002</v>
      </c>
      <c r="H172" s="24">
        <v>809.48203999999998</v>
      </c>
      <c r="I172" s="24">
        <v>1001.5</v>
      </c>
      <c r="J172" s="25">
        <v>1040.8</v>
      </c>
    </row>
    <row r="173" spans="1:11" ht="114.75">
      <c r="A173" s="26" t="s">
        <v>517</v>
      </c>
      <c r="B173" s="27" t="s">
        <v>173</v>
      </c>
      <c r="C173" s="27" t="s">
        <v>69</v>
      </c>
      <c r="D173" s="27" t="s">
        <v>385</v>
      </c>
      <c r="E173" s="27" t="s">
        <v>379</v>
      </c>
      <c r="F173" s="24">
        <v>0</v>
      </c>
      <c r="G173" s="24">
        <f t="shared" si="20"/>
        <v>147.86926</v>
      </c>
      <c r="H173" s="24">
        <v>147.86926</v>
      </c>
      <c r="I173" s="24">
        <v>0</v>
      </c>
      <c r="J173" s="25">
        <v>0</v>
      </c>
    </row>
    <row r="174" spans="1:11" ht="38.25">
      <c r="A174" s="18" t="s">
        <v>174</v>
      </c>
      <c r="B174" s="19" t="s">
        <v>175</v>
      </c>
      <c r="C174" s="19"/>
      <c r="D174" s="19"/>
      <c r="E174" s="19"/>
      <c r="F174" s="20">
        <v>52552.687420000002</v>
      </c>
      <c r="G174" s="20">
        <f>SUM(H174-F174)</f>
        <v>3479.2000299999927</v>
      </c>
      <c r="H174" s="42">
        <f>52734.68745+3297.2</f>
        <v>56031.887449999995</v>
      </c>
      <c r="I174" s="20">
        <v>45444.219469999996</v>
      </c>
      <c r="J174" s="21">
        <v>43448.719469999996</v>
      </c>
    </row>
    <row r="175" spans="1:11" ht="25.5">
      <c r="A175" s="22" t="s">
        <v>67</v>
      </c>
      <c r="B175" s="23" t="s">
        <v>176</v>
      </c>
      <c r="C175" s="23"/>
      <c r="D175" s="23"/>
      <c r="E175" s="23"/>
      <c r="F175" s="24">
        <v>0</v>
      </c>
      <c r="G175" s="24">
        <f t="shared" ref="G175:G184" si="21">SUM(H175-F175)</f>
        <v>182</v>
      </c>
      <c r="H175" s="24">
        <v>182</v>
      </c>
      <c r="I175" s="24">
        <v>0</v>
      </c>
      <c r="J175" s="25">
        <v>0</v>
      </c>
    </row>
    <row r="176" spans="1:11" ht="63.75">
      <c r="A176" s="26" t="s">
        <v>494</v>
      </c>
      <c r="B176" s="27" t="s">
        <v>176</v>
      </c>
      <c r="C176" s="27" t="s">
        <v>69</v>
      </c>
      <c r="D176" s="27" t="s">
        <v>385</v>
      </c>
      <c r="E176" s="27" t="s">
        <v>382</v>
      </c>
      <c r="F176" s="24">
        <v>0</v>
      </c>
      <c r="G176" s="24">
        <f t="shared" si="21"/>
        <v>182</v>
      </c>
      <c r="H176" s="24">
        <v>182</v>
      </c>
      <c r="I176" s="24">
        <v>0</v>
      </c>
      <c r="J176" s="25">
        <v>0</v>
      </c>
    </row>
    <row r="177" spans="1:11" ht="89.25">
      <c r="A177" s="22" t="s">
        <v>177</v>
      </c>
      <c r="B177" s="23" t="s">
        <v>178</v>
      </c>
      <c r="C177" s="23"/>
      <c r="D177" s="23"/>
      <c r="E177" s="23"/>
      <c r="F177" s="24">
        <v>41014.300000000003</v>
      </c>
      <c r="G177" s="24">
        <f t="shared" si="21"/>
        <v>3297.1999999999971</v>
      </c>
      <c r="H177" s="24">
        <f>41014.3+3297.2</f>
        <v>44311.5</v>
      </c>
      <c r="I177" s="24">
        <v>39690.699999999997</v>
      </c>
      <c r="J177" s="25">
        <v>42292.2</v>
      </c>
    </row>
    <row r="178" spans="1:11" ht="127.5">
      <c r="A178" s="26" t="s">
        <v>518</v>
      </c>
      <c r="B178" s="27" t="s">
        <v>178</v>
      </c>
      <c r="C178" s="27" t="s">
        <v>69</v>
      </c>
      <c r="D178" s="27" t="s">
        <v>385</v>
      </c>
      <c r="E178" s="27" t="s">
        <v>382</v>
      </c>
      <c r="F178" s="24">
        <v>41014.300000000003</v>
      </c>
      <c r="G178" s="24">
        <f t="shared" si="21"/>
        <v>3297.1999999999971</v>
      </c>
      <c r="H178" s="41">
        <f>41014.3+3297.2</f>
        <v>44311.5</v>
      </c>
      <c r="I178" s="24">
        <v>39690.699999999997</v>
      </c>
      <c r="J178" s="25">
        <v>42292.2</v>
      </c>
      <c r="K178" s="1">
        <v>3297.2</v>
      </c>
    </row>
    <row r="179" spans="1:11" ht="38.25">
      <c r="A179" s="22" t="s">
        <v>179</v>
      </c>
      <c r="B179" s="23" t="s">
        <v>180</v>
      </c>
      <c r="C179" s="23"/>
      <c r="D179" s="23"/>
      <c r="E179" s="23"/>
      <c r="F179" s="24">
        <v>1163.0324499999999</v>
      </c>
      <c r="G179" s="24">
        <f t="shared" si="21"/>
        <v>0</v>
      </c>
      <c r="H179" s="24">
        <v>1163.0324499999999</v>
      </c>
      <c r="I179" s="24">
        <v>1156.51947</v>
      </c>
      <c r="J179" s="25">
        <v>1156.51947</v>
      </c>
    </row>
    <row r="180" spans="1:11" ht="38.25">
      <c r="A180" s="26" t="s">
        <v>483</v>
      </c>
      <c r="B180" s="27" t="s">
        <v>180</v>
      </c>
      <c r="C180" s="27" t="s">
        <v>44</v>
      </c>
      <c r="D180" s="27" t="s">
        <v>385</v>
      </c>
      <c r="E180" s="27" t="s">
        <v>382</v>
      </c>
      <c r="F180" s="24">
        <v>697.81947000000002</v>
      </c>
      <c r="G180" s="24">
        <f t="shared" si="21"/>
        <v>0</v>
      </c>
      <c r="H180" s="24">
        <v>697.81947000000002</v>
      </c>
      <c r="I180" s="24">
        <v>697.81947000000002</v>
      </c>
      <c r="J180" s="25">
        <v>697.81947000000002</v>
      </c>
    </row>
    <row r="181" spans="1:11" ht="63.75">
      <c r="A181" s="26" t="s">
        <v>519</v>
      </c>
      <c r="B181" s="27" t="s">
        <v>180</v>
      </c>
      <c r="C181" s="27" t="s">
        <v>69</v>
      </c>
      <c r="D181" s="27" t="s">
        <v>385</v>
      </c>
      <c r="E181" s="27" t="s">
        <v>382</v>
      </c>
      <c r="F181" s="24">
        <v>465.21298000000002</v>
      </c>
      <c r="G181" s="24">
        <f t="shared" si="21"/>
        <v>0</v>
      </c>
      <c r="H181" s="24">
        <v>465.21298000000002</v>
      </c>
      <c r="I181" s="24">
        <v>458.7</v>
      </c>
      <c r="J181" s="25">
        <v>458.7</v>
      </c>
    </row>
    <row r="182" spans="1:11" ht="38.25">
      <c r="A182" s="22" t="s">
        <v>181</v>
      </c>
      <c r="B182" s="23" t="s">
        <v>182</v>
      </c>
      <c r="C182" s="23"/>
      <c r="D182" s="23"/>
      <c r="E182" s="23"/>
      <c r="F182" s="24">
        <v>10375.35497</v>
      </c>
      <c r="G182" s="24">
        <f t="shared" si="21"/>
        <v>2.9999999242136255E-5</v>
      </c>
      <c r="H182" s="24">
        <v>10375.355</v>
      </c>
      <c r="I182" s="24">
        <v>4597</v>
      </c>
      <c r="J182" s="25">
        <v>0</v>
      </c>
    </row>
    <row r="183" spans="1:11" ht="63.75">
      <c r="A183" s="26" t="s">
        <v>442</v>
      </c>
      <c r="B183" s="27" t="s">
        <v>182</v>
      </c>
      <c r="C183" s="27" t="s">
        <v>37</v>
      </c>
      <c r="D183" s="27" t="s">
        <v>385</v>
      </c>
      <c r="E183" s="27" t="s">
        <v>382</v>
      </c>
      <c r="F183" s="24">
        <v>0</v>
      </c>
      <c r="G183" s="24">
        <f t="shared" si="21"/>
        <v>0</v>
      </c>
      <c r="H183" s="24">
        <v>0</v>
      </c>
      <c r="I183" s="24">
        <v>4597</v>
      </c>
      <c r="J183" s="25">
        <v>0</v>
      </c>
    </row>
    <row r="184" spans="1:11" ht="63.75">
      <c r="A184" s="26" t="s">
        <v>520</v>
      </c>
      <c r="B184" s="27" t="s">
        <v>182</v>
      </c>
      <c r="C184" s="27" t="s">
        <v>69</v>
      </c>
      <c r="D184" s="27" t="s">
        <v>385</v>
      </c>
      <c r="E184" s="27" t="s">
        <v>382</v>
      </c>
      <c r="F184" s="24">
        <v>10375.35497</v>
      </c>
      <c r="G184" s="24">
        <f t="shared" si="21"/>
        <v>2.9999999242136255E-5</v>
      </c>
      <c r="H184" s="24">
        <v>10375.355</v>
      </c>
      <c r="I184" s="24">
        <v>0</v>
      </c>
      <c r="J184" s="25">
        <v>0</v>
      </c>
    </row>
    <row r="185" spans="1:11" ht="105.75" thickBot="1">
      <c r="A185" s="10" t="s">
        <v>183</v>
      </c>
      <c r="B185" s="11" t="s">
        <v>184</v>
      </c>
      <c r="C185" s="11"/>
      <c r="D185" s="11"/>
      <c r="E185" s="11"/>
      <c r="F185" s="12">
        <v>23160.84</v>
      </c>
      <c r="G185" s="12">
        <f t="shared" ref="G185:G190" si="22">SUM(H185-F185)</f>
        <v>4763.2999999999993</v>
      </c>
      <c r="H185" s="62">
        <v>27924.14</v>
      </c>
      <c r="I185" s="12">
        <v>7349.9575299999997</v>
      </c>
      <c r="J185" s="13">
        <v>7361.1214099999997</v>
      </c>
    </row>
    <row r="186" spans="1:11" ht="63.75">
      <c r="A186" s="14" t="s">
        <v>185</v>
      </c>
      <c r="B186" s="15" t="s">
        <v>186</v>
      </c>
      <c r="C186" s="15"/>
      <c r="D186" s="15"/>
      <c r="E186" s="15"/>
      <c r="F186" s="16">
        <v>18708.14</v>
      </c>
      <c r="G186" s="16">
        <f t="shared" si="22"/>
        <v>4763.2999999999993</v>
      </c>
      <c r="H186" s="16">
        <v>23471.439999999999</v>
      </c>
      <c r="I186" s="16">
        <v>3451.7575299999999</v>
      </c>
      <c r="J186" s="17">
        <v>3462.9214099999999</v>
      </c>
    </row>
    <row r="187" spans="1:11" ht="25.5">
      <c r="A187" s="18" t="s">
        <v>187</v>
      </c>
      <c r="B187" s="19" t="s">
        <v>188</v>
      </c>
      <c r="C187" s="19"/>
      <c r="D187" s="19"/>
      <c r="E187" s="19"/>
      <c r="F187" s="20">
        <v>3495.24</v>
      </c>
      <c r="G187" s="20">
        <f t="shared" si="22"/>
        <v>0</v>
      </c>
      <c r="H187" s="20">
        <v>3495.24</v>
      </c>
      <c r="I187" s="20">
        <v>3451.7575299999999</v>
      </c>
      <c r="J187" s="21">
        <v>3462.9214099999999</v>
      </c>
    </row>
    <row r="188" spans="1:11" ht="25.5">
      <c r="A188" s="22" t="s">
        <v>189</v>
      </c>
      <c r="B188" s="23" t="s">
        <v>190</v>
      </c>
      <c r="C188" s="23"/>
      <c r="D188" s="23"/>
      <c r="E188" s="23"/>
      <c r="F188" s="24">
        <v>3495.24</v>
      </c>
      <c r="G188" s="24">
        <f t="shared" si="22"/>
        <v>0</v>
      </c>
      <c r="H188" s="24">
        <v>3495.24</v>
      </c>
      <c r="I188" s="24">
        <v>3451.7575299999999</v>
      </c>
      <c r="J188" s="25">
        <v>3462.9214099999999</v>
      </c>
    </row>
    <row r="189" spans="1:11" ht="51">
      <c r="A189" s="26" t="s">
        <v>465</v>
      </c>
      <c r="B189" s="27" t="s">
        <v>190</v>
      </c>
      <c r="C189" s="27" t="s">
        <v>84</v>
      </c>
      <c r="D189" s="27" t="s">
        <v>16</v>
      </c>
      <c r="E189" s="27" t="s">
        <v>381</v>
      </c>
      <c r="F189" s="24">
        <v>3495.24</v>
      </c>
      <c r="G189" s="24">
        <f t="shared" si="22"/>
        <v>0</v>
      </c>
      <c r="H189" s="24">
        <v>3495.24</v>
      </c>
      <c r="I189" s="24">
        <v>3451.7575299999999</v>
      </c>
      <c r="J189" s="25">
        <v>3462.9214099999999</v>
      </c>
    </row>
    <row r="190" spans="1:11" ht="63.75">
      <c r="A190" s="18" t="s">
        <v>191</v>
      </c>
      <c r="B190" s="19" t="s">
        <v>192</v>
      </c>
      <c r="C190" s="19"/>
      <c r="D190" s="19"/>
      <c r="E190" s="19"/>
      <c r="F190" s="20">
        <v>15212.9</v>
      </c>
      <c r="G190" s="20">
        <f t="shared" si="22"/>
        <v>4763.3000000000011</v>
      </c>
      <c r="H190" s="20">
        <v>19976.2</v>
      </c>
      <c r="I190" s="20">
        <v>0</v>
      </c>
      <c r="J190" s="21">
        <v>0</v>
      </c>
    </row>
    <row r="191" spans="1:11" ht="63.75">
      <c r="A191" s="22" t="s">
        <v>193</v>
      </c>
      <c r="B191" s="23" t="s">
        <v>194</v>
      </c>
      <c r="C191" s="23"/>
      <c r="D191" s="23"/>
      <c r="E191" s="23"/>
      <c r="F191" s="24">
        <v>15212.9</v>
      </c>
      <c r="G191" s="24">
        <f t="shared" ref="G191:G192" si="23">SUM(H191-F191)</f>
        <v>4763.3000000000011</v>
      </c>
      <c r="H191" s="24">
        <v>19976.2</v>
      </c>
      <c r="I191" s="24">
        <v>0</v>
      </c>
      <c r="J191" s="25">
        <v>0</v>
      </c>
    </row>
    <row r="192" spans="1:11" ht="63.75">
      <c r="A192" s="26" t="s">
        <v>484</v>
      </c>
      <c r="B192" s="27" t="s">
        <v>194</v>
      </c>
      <c r="C192" s="27" t="s">
        <v>44</v>
      </c>
      <c r="D192" s="27" t="s">
        <v>387</v>
      </c>
      <c r="E192" s="27" t="s">
        <v>12</v>
      </c>
      <c r="F192" s="24">
        <v>15212.9</v>
      </c>
      <c r="G192" s="24">
        <f t="shared" si="23"/>
        <v>4763.3000000000011</v>
      </c>
      <c r="H192" s="24">
        <v>19976.2</v>
      </c>
      <c r="I192" s="24">
        <v>0</v>
      </c>
      <c r="J192" s="25">
        <v>0</v>
      </c>
    </row>
    <row r="193" spans="1:10" ht="25.5">
      <c r="A193" s="14" t="s">
        <v>195</v>
      </c>
      <c r="B193" s="15" t="s">
        <v>196</v>
      </c>
      <c r="C193" s="15"/>
      <c r="D193" s="15"/>
      <c r="E193" s="15"/>
      <c r="F193" s="16">
        <v>554.5</v>
      </c>
      <c r="G193" s="16">
        <f>SUM(H193-F193)</f>
        <v>0</v>
      </c>
      <c r="H193" s="16">
        <v>554.5</v>
      </c>
      <c r="I193" s="16">
        <v>0</v>
      </c>
      <c r="J193" s="17">
        <v>0</v>
      </c>
    </row>
    <row r="194" spans="1:10" ht="25.5">
      <c r="A194" s="18" t="s">
        <v>197</v>
      </c>
      <c r="B194" s="19" t="s">
        <v>198</v>
      </c>
      <c r="C194" s="19"/>
      <c r="D194" s="19"/>
      <c r="E194" s="19"/>
      <c r="F194" s="20">
        <v>554.5</v>
      </c>
      <c r="G194" s="20">
        <f>SUM(H194-F194)</f>
        <v>0</v>
      </c>
      <c r="H194" s="20">
        <v>554.5</v>
      </c>
      <c r="I194" s="20">
        <v>0</v>
      </c>
      <c r="J194" s="21">
        <v>0</v>
      </c>
    </row>
    <row r="195" spans="1:10" ht="25.5">
      <c r="A195" s="22" t="s">
        <v>199</v>
      </c>
      <c r="B195" s="23" t="s">
        <v>200</v>
      </c>
      <c r="C195" s="23"/>
      <c r="D195" s="23"/>
      <c r="E195" s="23"/>
      <c r="F195" s="24">
        <v>554.5</v>
      </c>
      <c r="G195" s="24">
        <f t="shared" ref="G195:G196" si="24">SUM(H195-F195)</f>
        <v>0</v>
      </c>
      <c r="H195" s="24">
        <v>554.5</v>
      </c>
      <c r="I195" s="24">
        <v>0</v>
      </c>
      <c r="J195" s="25">
        <v>0</v>
      </c>
    </row>
    <row r="196" spans="1:10" ht="38.25">
      <c r="A196" s="26" t="s">
        <v>485</v>
      </c>
      <c r="B196" s="27" t="s">
        <v>200</v>
      </c>
      <c r="C196" s="27" t="s">
        <v>44</v>
      </c>
      <c r="D196" s="27" t="s">
        <v>381</v>
      </c>
      <c r="E196" s="27" t="s">
        <v>386</v>
      </c>
      <c r="F196" s="24">
        <v>554.5</v>
      </c>
      <c r="G196" s="24">
        <f t="shared" si="24"/>
        <v>0</v>
      </c>
      <c r="H196" s="24">
        <v>554.5</v>
      </c>
      <c r="I196" s="24">
        <v>0</v>
      </c>
      <c r="J196" s="25">
        <v>0</v>
      </c>
    </row>
    <row r="197" spans="1:10" ht="63.75">
      <c r="A197" s="14" t="s">
        <v>201</v>
      </c>
      <c r="B197" s="15" t="s">
        <v>202</v>
      </c>
      <c r="C197" s="15"/>
      <c r="D197" s="15"/>
      <c r="E197" s="15"/>
      <c r="F197" s="16">
        <v>3898.2</v>
      </c>
      <c r="G197" s="16">
        <f>SUM(H197-F197)</f>
        <v>0</v>
      </c>
      <c r="H197" s="16">
        <v>3898.2</v>
      </c>
      <c r="I197" s="16">
        <v>3898.2</v>
      </c>
      <c r="J197" s="17">
        <v>3898.2</v>
      </c>
    </row>
    <row r="198" spans="1:10" ht="38.25">
      <c r="A198" s="18" t="s">
        <v>203</v>
      </c>
      <c r="B198" s="19" t="s">
        <v>204</v>
      </c>
      <c r="C198" s="19"/>
      <c r="D198" s="19"/>
      <c r="E198" s="19"/>
      <c r="F198" s="20">
        <v>3898.2</v>
      </c>
      <c r="G198" s="20">
        <f>SUM(H198-F198)</f>
        <v>0</v>
      </c>
      <c r="H198" s="20">
        <v>3898.2</v>
      </c>
      <c r="I198" s="20">
        <v>3898.2</v>
      </c>
      <c r="J198" s="21">
        <v>3898.2</v>
      </c>
    </row>
    <row r="199" spans="1:10" ht="38.25">
      <c r="A199" s="22" t="s">
        <v>205</v>
      </c>
      <c r="B199" s="23" t="s">
        <v>206</v>
      </c>
      <c r="C199" s="23"/>
      <c r="D199" s="23"/>
      <c r="E199" s="23"/>
      <c r="F199" s="24">
        <v>3898.2</v>
      </c>
      <c r="G199" s="24">
        <f t="shared" ref="G199:G200" si="25">SUM(H199-F199)</f>
        <v>0</v>
      </c>
      <c r="H199" s="24">
        <v>3898.2</v>
      </c>
      <c r="I199" s="24">
        <v>3898.2</v>
      </c>
      <c r="J199" s="25">
        <v>3898.2</v>
      </c>
    </row>
    <row r="200" spans="1:10" ht="38.25">
      <c r="A200" s="26" t="s">
        <v>486</v>
      </c>
      <c r="B200" s="27" t="s">
        <v>206</v>
      </c>
      <c r="C200" s="27" t="s">
        <v>44</v>
      </c>
      <c r="D200" s="27" t="s">
        <v>387</v>
      </c>
      <c r="E200" s="27" t="s">
        <v>382</v>
      </c>
      <c r="F200" s="24">
        <v>3898.2</v>
      </c>
      <c r="G200" s="24">
        <f t="shared" si="25"/>
        <v>0</v>
      </c>
      <c r="H200" s="24">
        <v>3898.2</v>
      </c>
      <c r="I200" s="24">
        <v>3898.2</v>
      </c>
      <c r="J200" s="25">
        <v>3898.2</v>
      </c>
    </row>
    <row r="201" spans="1:10" ht="60.75" thickBot="1">
      <c r="A201" s="10" t="s">
        <v>207</v>
      </c>
      <c r="B201" s="11" t="s">
        <v>208</v>
      </c>
      <c r="C201" s="11"/>
      <c r="D201" s="11"/>
      <c r="E201" s="11"/>
      <c r="F201" s="12">
        <v>11312.766</v>
      </c>
      <c r="G201" s="12">
        <f>SUM(H201-F201)</f>
        <v>951.80345000000125</v>
      </c>
      <c r="H201" s="62">
        <f>11432.36945+832.2</f>
        <v>12264.569450000001</v>
      </c>
      <c r="I201" s="12">
        <v>12718.726199999999</v>
      </c>
      <c r="J201" s="13">
        <v>12718.726199999999</v>
      </c>
    </row>
    <row r="202" spans="1:10" ht="63.75">
      <c r="A202" s="18" t="s">
        <v>209</v>
      </c>
      <c r="B202" s="19" t="s">
        <v>210</v>
      </c>
      <c r="C202" s="19"/>
      <c r="D202" s="19"/>
      <c r="E202" s="19"/>
      <c r="F202" s="20">
        <v>11312.766</v>
      </c>
      <c r="G202" s="16">
        <f>SUM(H202-F202)</f>
        <v>951.80345000000125</v>
      </c>
      <c r="H202" s="20">
        <f>11432.36945+832.2</f>
        <v>12264.569450000001</v>
      </c>
      <c r="I202" s="20">
        <v>12718.726199999999</v>
      </c>
      <c r="J202" s="21">
        <v>12718.726199999999</v>
      </c>
    </row>
    <row r="203" spans="1:10" ht="25.5">
      <c r="A203" s="22" t="s">
        <v>211</v>
      </c>
      <c r="B203" s="23" t="s">
        <v>212</v>
      </c>
      <c r="C203" s="23"/>
      <c r="D203" s="23"/>
      <c r="E203" s="23"/>
      <c r="F203" s="24">
        <v>8423.5</v>
      </c>
      <c r="G203" s="20">
        <f>SUM(H203-F203)</f>
        <v>-8423.5</v>
      </c>
      <c r="H203" s="24">
        <v>0</v>
      </c>
      <c r="I203" s="24">
        <v>9829.4599999999991</v>
      </c>
      <c r="J203" s="25">
        <v>9829.4599999999991</v>
      </c>
    </row>
    <row r="204" spans="1:10" ht="25.5">
      <c r="A204" s="26" t="s">
        <v>487</v>
      </c>
      <c r="B204" s="27" t="s">
        <v>212</v>
      </c>
      <c r="C204" s="27" t="s">
        <v>44</v>
      </c>
      <c r="D204" s="27" t="s">
        <v>387</v>
      </c>
      <c r="E204" s="27" t="s">
        <v>382</v>
      </c>
      <c r="F204" s="24">
        <v>8423.5</v>
      </c>
      <c r="G204" s="24">
        <f t="shared" ref="G204:G210" si="26">SUM(H204-F204)</f>
        <v>-8423.5</v>
      </c>
      <c r="H204" s="24">
        <v>0</v>
      </c>
      <c r="I204" s="24">
        <v>9829.4599999999991</v>
      </c>
      <c r="J204" s="25">
        <v>9829.4599999999991</v>
      </c>
    </row>
    <row r="205" spans="1:10">
      <c r="A205" s="22" t="s">
        <v>213</v>
      </c>
      <c r="B205" s="23" t="s">
        <v>214</v>
      </c>
      <c r="C205" s="23"/>
      <c r="D205" s="23"/>
      <c r="E205" s="23"/>
      <c r="F205" s="24">
        <v>2889.2660000000001</v>
      </c>
      <c r="G205" s="24">
        <f t="shared" si="26"/>
        <v>0</v>
      </c>
      <c r="H205" s="24">
        <v>2889.2660000000001</v>
      </c>
      <c r="I205" s="24">
        <v>2889.2662</v>
      </c>
      <c r="J205" s="25">
        <v>2889.2662</v>
      </c>
    </row>
    <row r="206" spans="1:10" ht="25.5">
      <c r="A206" s="26" t="s">
        <v>473</v>
      </c>
      <c r="B206" s="27" t="s">
        <v>214</v>
      </c>
      <c r="C206" s="27" t="s">
        <v>44</v>
      </c>
      <c r="D206" s="27" t="s">
        <v>387</v>
      </c>
      <c r="E206" s="27" t="s">
        <v>384</v>
      </c>
      <c r="F206" s="24">
        <v>2889.2660000000001</v>
      </c>
      <c r="G206" s="24">
        <f t="shared" si="26"/>
        <v>0</v>
      </c>
      <c r="H206" s="24">
        <v>2889.2660000000001</v>
      </c>
      <c r="I206" s="24">
        <v>2889.2662</v>
      </c>
      <c r="J206" s="25">
        <v>2889.2662</v>
      </c>
    </row>
    <row r="207" spans="1:10" ht="25.5">
      <c r="A207" s="22" t="s">
        <v>211</v>
      </c>
      <c r="B207" s="23" t="s">
        <v>215</v>
      </c>
      <c r="C207" s="23"/>
      <c r="D207" s="23"/>
      <c r="E207" s="23"/>
      <c r="F207" s="24">
        <v>0</v>
      </c>
      <c r="G207" s="24">
        <f t="shared" si="26"/>
        <v>8543.1034500000005</v>
      </c>
      <c r="H207" s="24">
        <v>8543.1034500000005</v>
      </c>
      <c r="I207" s="24">
        <v>0</v>
      </c>
      <c r="J207" s="25">
        <v>0</v>
      </c>
    </row>
    <row r="208" spans="1:10" ht="25.5">
      <c r="A208" s="26" t="s">
        <v>487</v>
      </c>
      <c r="B208" s="27" t="s">
        <v>215</v>
      </c>
      <c r="C208" s="27" t="s">
        <v>44</v>
      </c>
      <c r="D208" s="27" t="s">
        <v>387</v>
      </c>
      <c r="E208" s="27" t="s">
        <v>382</v>
      </c>
      <c r="F208" s="24">
        <v>0</v>
      </c>
      <c r="G208" s="24">
        <f t="shared" si="26"/>
        <v>8543.1034500000005</v>
      </c>
      <c r="H208" s="24">
        <v>8543.1034500000005</v>
      </c>
      <c r="I208" s="24">
        <v>0</v>
      </c>
      <c r="J208" s="25">
        <v>0</v>
      </c>
    </row>
    <row r="209" spans="1:11">
      <c r="A209" s="22" t="s">
        <v>213</v>
      </c>
      <c r="B209" s="44" t="s">
        <v>545</v>
      </c>
      <c r="C209" s="27"/>
      <c r="D209" s="27"/>
      <c r="E209" s="27"/>
      <c r="F209" s="24">
        <v>0</v>
      </c>
      <c r="G209" s="24">
        <f t="shared" si="26"/>
        <v>832.2</v>
      </c>
      <c r="H209" s="24">
        <v>832.2</v>
      </c>
      <c r="I209" s="24">
        <v>0</v>
      </c>
      <c r="J209" s="25">
        <v>0</v>
      </c>
    </row>
    <row r="210" spans="1:11" ht="25.5">
      <c r="A210" s="26" t="s">
        <v>473</v>
      </c>
      <c r="B210" s="44" t="s">
        <v>545</v>
      </c>
      <c r="C210" s="44" t="s">
        <v>44</v>
      </c>
      <c r="D210" s="44" t="s">
        <v>387</v>
      </c>
      <c r="E210" s="44" t="s">
        <v>382</v>
      </c>
      <c r="F210" s="24">
        <v>0</v>
      </c>
      <c r="G210" s="24">
        <f t="shared" si="26"/>
        <v>832.2</v>
      </c>
      <c r="H210" s="24">
        <v>832.2</v>
      </c>
      <c r="I210" s="24">
        <v>0</v>
      </c>
      <c r="J210" s="25">
        <v>0</v>
      </c>
    </row>
    <row r="211" spans="1:11" ht="45.75" thickBot="1">
      <c r="A211" s="10" t="s">
        <v>216</v>
      </c>
      <c r="B211" s="11" t="s">
        <v>217</v>
      </c>
      <c r="C211" s="11"/>
      <c r="D211" s="11"/>
      <c r="E211" s="11"/>
      <c r="F211" s="12">
        <v>99155.5</v>
      </c>
      <c r="G211" s="12">
        <f>SUM(H211-F211)</f>
        <v>3187.1309900000051</v>
      </c>
      <c r="H211" s="61">
        <f>98107.53099+1117.7+54.6+1168.9+1481.8-413.2+825.3</f>
        <v>102342.63099000001</v>
      </c>
      <c r="I211" s="12">
        <v>39689.4</v>
      </c>
      <c r="J211" s="13">
        <v>39017.5</v>
      </c>
    </row>
    <row r="212" spans="1:11" ht="38.25">
      <c r="A212" s="14" t="s">
        <v>218</v>
      </c>
      <c r="B212" s="15" t="s">
        <v>219</v>
      </c>
      <c r="C212" s="15"/>
      <c r="D212" s="15"/>
      <c r="E212" s="15"/>
      <c r="F212" s="16">
        <v>63495.8</v>
      </c>
      <c r="G212" s="16">
        <f>SUM(H212-F212)</f>
        <v>845.93099000000802</v>
      </c>
      <c r="H212" s="43">
        <f>62447.83099+1481.8-413.2+825.3</f>
        <v>64341.730990000011</v>
      </c>
      <c r="I212" s="16">
        <v>15978</v>
      </c>
      <c r="J212" s="17">
        <v>16740</v>
      </c>
    </row>
    <row r="213" spans="1:11" ht="38.25">
      <c r="A213" s="18" t="s">
        <v>220</v>
      </c>
      <c r="B213" s="19" t="s">
        <v>221</v>
      </c>
      <c r="C213" s="19"/>
      <c r="D213" s="19"/>
      <c r="E213" s="19"/>
      <c r="F213" s="20">
        <v>2500</v>
      </c>
      <c r="G213" s="20">
        <f>SUM(H213-F213)</f>
        <v>-222.66901000000007</v>
      </c>
      <c r="H213" s="20">
        <f>1452.03099+825.3</f>
        <v>2277.3309899999999</v>
      </c>
      <c r="I213" s="20">
        <v>1000</v>
      </c>
      <c r="J213" s="21">
        <v>1000</v>
      </c>
    </row>
    <row r="214" spans="1:11" ht="89.25">
      <c r="A214" s="22" t="s">
        <v>222</v>
      </c>
      <c r="B214" s="23" t="s">
        <v>223</v>
      </c>
      <c r="C214" s="23"/>
      <c r="D214" s="23"/>
      <c r="E214" s="23"/>
      <c r="F214" s="24">
        <v>2500</v>
      </c>
      <c r="G214" s="24">
        <f t="shared" ref="G214:G215" si="27">SUM(H214-F214)</f>
        <v>-222.66901000000007</v>
      </c>
      <c r="H214" s="41">
        <f>1452.03099+825.3</f>
        <v>2277.3309899999999</v>
      </c>
      <c r="I214" s="24">
        <v>1000</v>
      </c>
      <c r="J214" s="25">
        <v>1000</v>
      </c>
    </row>
    <row r="215" spans="1:11" ht="102">
      <c r="A215" s="26" t="s">
        <v>531</v>
      </c>
      <c r="B215" s="27" t="s">
        <v>223</v>
      </c>
      <c r="C215" s="27" t="s">
        <v>62</v>
      </c>
      <c r="D215" s="27" t="s">
        <v>379</v>
      </c>
      <c r="E215" s="27" t="s">
        <v>380</v>
      </c>
      <c r="F215" s="24">
        <v>2500</v>
      </c>
      <c r="G215" s="24">
        <f t="shared" si="27"/>
        <v>-222.66901000000007</v>
      </c>
      <c r="H215" s="24">
        <f>1452.03099+825.3</f>
        <v>2277.3309899999999</v>
      </c>
      <c r="I215" s="24">
        <v>1000</v>
      </c>
      <c r="J215" s="25">
        <v>1000</v>
      </c>
    </row>
    <row r="216" spans="1:11" ht="51">
      <c r="A216" s="18" t="s">
        <v>224</v>
      </c>
      <c r="B216" s="19" t="s">
        <v>225</v>
      </c>
      <c r="C216" s="19"/>
      <c r="D216" s="19"/>
      <c r="E216" s="19"/>
      <c r="F216" s="20">
        <v>60995.8</v>
      </c>
      <c r="G216" s="20">
        <f>SUM(H216-F216)</f>
        <v>1068.6000000000058</v>
      </c>
      <c r="H216" s="20">
        <f>60995.8-413.2+1481.8</f>
        <v>62064.400000000009</v>
      </c>
      <c r="I216" s="20">
        <v>14978</v>
      </c>
      <c r="J216" s="21">
        <v>15740</v>
      </c>
    </row>
    <row r="217" spans="1:11" ht="114.75">
      <c r="A217" s="22" t="s">
        <v>226</v>
      </c>
      <c r="B217" s="23" t="s">
        <v>227</v>
      </c>
      <c r="C217" s="23"/>
      <c r="D217" s="23"/>
      <c r="E217" s="23"/>
      <c r="F217" s="24">
        <v>7509</v>
      </c>
      <c r="G217" s="24">
        <f t="shared" ref="G217" si="28">SUM(H217-F217)</f>
        <v>0</v>
      </c>
      <c r="H217" s="24">
        <v>7509</v>
      </c>
      <c r="I217" s="24">
        <v>6578</v>
      </c>
      <c r="J217" s="25">
        <v>6790</v>
      </c>
    </row>
    <row r="218" spans="1:11" ht="114.75">
      <c r="A218" s="26" t="s">
        <v>488</v>
      </c>
      <c r="B218" s="27" t="s">
        <v>227</v>
      </c>
      <c r="C218" s="27" t="s">
        <v>44</v>
      </c>
      <c r="D218" s="27" t="s">
        <v>391</v>
      </c>
      <c r="E218" s="27" t="s">
        <v>379</v>
      </c>
      <c r="F218" s="24">
        <v>7509</v>
      </c>
      <c r="G218" s="24">
        <f t="shared" ref="G218:G220" si="29">SUM(H218-F218)</f>
        <v>0</v>
      </c>
      <c r="H218" s="24">
        <v>7509</v>
      </c>
      <c r="I218" s="24">
        <v>6578</v>
      </c>
      <c r="J218" s="25">
        <v>6790</v>
      </c>
    </row>
    <row r="219" spans="1:11" ht="89.25">
      <c r="A219" s="22" t="s">
        <v>228</v>
      </c>
      <c r="B219" s="23" t="s">
        <v>229</v>
      </c>
      <c r="C219" s="23"/>
      <c r="D219" s="23"/>
      <c r="E219" s="23"/>
      <c r="F219" s="24">
        <v>7860</v>
      </c>
      <c r="G219" s="24">
        <f t="shared" si="29"/>
        <v>0</v>
      </c>
      <c r="H219" s="24">
        <v>7860</v>
      </c>
      <c r="I219" s="24">
        <v>8400</v>
      </c>
      <c r="J219" s="25">
        <v>8950</v>
      </c>
    </row>
    <row r="220" spans="1:11" ht="89.25">
      <c r="A220" s="26" t="s">
        <v>474</v>
      </c>
      <c r="B220" s="27" t="s">
        <v>229</v>
      </c>
      <c r="C220" s="27" t="s">
        <v>44</v>
      </c>
      <c r="D220" s="27" t="s">
        <v>391</v>
      </c>
      <c r="E220" s="27" t="s">
        <v>379</v>
      </c>
      <c r="F220" s="24">
        <v>7860</v>
      </c>
      <c r="G220" s="24">
        <f t="shared" si="29"/>
        <v>0</v>
      </c>
      <c r="H220" s="24">
        <v>7860</v>
      </c>
      <c r="I220" s="24">
        <v>8400</v>
      </c>
      <c r="J220" s="25">
        <v>8950</v>
      </c>
    </row>
    <row r="221" spans="1:11" ht="89.25">
      <c r="A221" s="22" t="s">
        <v>230</v>
      </c>
      <c r="B221" s="23" t="s">
        <v>231</v>
      </c>
      <c r="C221" s="23"/>
      <c r="D221" s="23"/>
      <c r="E221" s="23"/>
      <c r="F221" s="24">
        <v>41410</v>
      </c>
      <c r="G221" s="24">
        <f t="shared" ref="G221:G223" si="30">SUM(H221-F221)</f>
        <v>1481.8000000000029</v>
      </c>
      <c r="H221" s="24">
        <f>41410+1481.8</f>
        <v>42891.8</v>
      </c>
      <c r="I221" s="24">
        <v>0</v>
      </c>
      <c r="J221" s="25">
        <v>0</v>
      </c>
    </row>
    <row r="222" spans="1:11" ht="102">
      <c r="A222" s="26" t="s">
        <v>475</v>
      </c>
      <c r="B222" s="27" t="s">
        <v>231</v>
      </c>
      <c r="C222" s="27" t="s">
        <v>44</v>
      </c>
      <c r="D222" s="27" t="s">
        <v>391</v>
      </c>
      <c r="E222" s="27" t="s">
        <v>384</v>
      </c>
      <c r="F222" s="24">
        <v>41410</v>
      </c>
      <c r="G222" s="24">
        <f t="shared" si="30"/>
        <v>1481.8000000000029</v>
      </c>
      <c r="H222" s="24">
        <f>41410+1481.8</f>
        <v>42891.8</v>
      </c>
      <c r="I222" s="24">
        <v>0</v>
      </c>
      <c r="J222" s="25">
        <v>0</v>
      </c>
      <c r="K222" s="1">
        <v>1481.8</v>
      </c>
    </row>
    <row r="223" spans="1:11" ht="114.75">
      <c r="A223" s="22" t="s">
        <v>232</v>
      </c>
      <c r="B223" s="23" t="s">
        <v>233</v>
      </c>
      <c r="C223" s="23"/>
      <c r="D223" s="23"/>
      <c r="E223" s="23"/>
      <c r="F223" s="24">
        <v>4216.8</v>
      </c>
      <c r="G223" s="24">
        <f t="shared" si="30"/>
        <v>-413.19999999999982</v>
      </c>
      <c r="H223" s="24">
        <f>4216.8-413.2</f>
        <v>3803.6000000000004</v>
      </c>
      <c r="I223" s="24">
        <v>0</v>
      </c>
      <c r="J223" s="25">
        <v>0</v>
      </c>
    </row>
    <row r="224" spans="1:11" ht="127.5">
      <c r="A224" s="26" t="s">
        <v>476</v>
      </c>
      <c r="B224" s="27" t="s">
        <v>233</v>
      </c>
      <c r="C224" s="27" t="s">
        <v>44</v>
      </c>
      <c r="D224" s="27" t="s">
        <v>391</v>
      </c>
      <c r="E224" s="27" t="s">
        <v>384</v>
      </c>
      <c r="F224" s="24">
        <v>4216.8</v>
      </c>
      <c r="G224" s="24">
        <f t="shared" ref="G224" si="31">SUM(H224-F224)</f>
        <v>-413.19999999999982</v>
      </c>
      <c r="H224" s="41">
        <f>4216.8-413.2</f>
        <v>3803.6000000000004</v>
      </c>
      <c r="I224" s="24">
        <v>0</v>
      </c>
      <c r="J224" s="25">
        <v>0</v>
      </c>
      <c r="K224" s="1">
        <v>-413.2</v>
      </c>
    </row>
    <row r="225" spans="1:11" ht="89.25">
      <c r="A225" s="14" t="s">
        <v>234</v>
      </c>
      <c r="B225" s="15" t="s">
        <v>235</v>
      </c>
      <c r="C225" s="15"/>
      <c r="D225" s="15"/>
      <c r="E225" s="15"/>
      <c r="F225" s="16">
        <v>8880</v>
      </c>
      <c r="G225" s="16">
        <f>SUM(H225-F225)</f>
        <v>0</v>
      </c>
      <c r="H225" s="16">
        <v>8880</v>
      </c>
      <c r="I225" s="16">
        <v>9920</v>
      </c>
      <c r="J225" s="17">
        <v>9920</v>
      </c>
    </row>
    <row r="226" spans="1:11" ht="102">
      <c r="A226" s="18" t="s">
        <v>236</v>
      </c>
      <c r="B226" s="19" t="s">
        <v>237</v>
      </c>
      <c r="C226" s="19"/>
      <c r="D226" s="19"/>
      <c r="E226" s="19"/>
      <c r="F226" s="20">
        <v>8880</v>
      </c>
      <c r="G226" s="20">
        <f>SUM(H226-F226)</f>
        <v>0</v>
      </c>
      <c r="H226" s="20">
        <v>8880</v>
      </c>
      <c r="I226" s="20">
        <v>9920</v>
      </c>
      <c r="J226" s="21">
        <v>9920</v>
      </c>
    </row>
    <row r="227" spans="1:11" ht="140.25">
      <c r="A227" s="22" t="s">
        <v>238</v>
      </c>
      <c r="B227" s="23" t="s">
        <v>239</v>
      </c>
      <c r="C227" s="23"/>
      <c r="D227" s="23"/>
      <c r="E227" s="23"/>
      <c r="F227" s="24">
        <v>8600</v>
      </c>
      <c r="G227" s="24">
        <f t="shared" ref="G227:G230" si="32">SUM(H227-F227)</f>
        <v>0</v>
      </c>
      <c r="H227" s="24">
        <v>8600</v>
      </c>
      <c r="I227" s="24">
        <v>9920</v>
      </c>
      <c r="J227" s="25">
        <v>9920</v>
      </c>
    </row>
    <row r="228" spans="1:11" ht="153">
      <c r="A228" s="26" t="s">
        <v>466</v>
      </c>
      <c r="B228" s="27" t="s">
        <v>239</v>
      </c>
      <c r="C228" s="27" t="s">
        <v>84</v>
      </c>
      <c r="D228" s="27" t="s">
        <v>16</v>
      </c>
      <c r="E228" s="27" t="s">
        <v>379</v>
      </c>
      <c r="F228" s="24">
        <v>8600</v>
      </c>
      <c r="G228" s="24">
        <f t="shared" si="32"/>
        <v>0</v>
      </c>
      <c r="H228" s="24">
        <v>8600</v>
      </c>
      <c r="I228" s="24">
        <v>9920</v>
      </c>
      <c r="J228" s="25">
        <v>9920</v>
      </c>
    </row>
    <row r="229" spans="1:11" ht="153">
      <c r="A229" s="22" t="s">
        <v>240</v>
      </c>
      <c r="B229" s="23" t="s">
        <v>241</v>
      </c>
      <c r="C229" s="23"/>
      <c r="D229" s="23"/>
      <c r="E229" s="23"/>
      <c r="F229" s="24">
        <v>280</v>
      </c>
      <c r="G229" s="24">
        <f t="shared" si="32"/>
        <v>0</v>
      </c>
      <c r="H229" s="24">
        <v>280</v>
      </c>
      <c r="I229" s="24">
        <v>0</v>
      </c>
      <c r="J229" s="25">
        <v>0</v>
      </c>
    </row>
    <row r="230" spans="1:11" ht="165.75">
      <c r="A230" s="26" t="s">
        <v>467</v>
      </c>
      <c r="B230" s="27" t="s">
        <v>241</v>
      </c>
      <c r="C230" s="27" t="s">
        <v>84</v>
      </c>
      <c r="D230" s="27" t="s">
        <v>16</v>
      </c>
      <c r="E230" s="27" t="s">
        <v>384</v>
      </c>
      <c r="F230" s="24">
        <v>280</v>
      </c>
      <c r="G230" s="24">
        <f t="shared" si="32"/>
        <v>0</v>
      </c>
      <c r="H230" s="24">
        <v>280</v>
      </c>
      <c r="I230" s="24">
        <v>0</v>
      </c>
      <c r="J230" s="25">
        <v>0</v>
      </c>
    </row>
    <row r="231" spans="1:11" ht="25.5">
      <c r="A231" s="14" t="s">
        <v>242</v>
      </c>
      <c r="B231" s="15" t="s">
        <v>243</v>
      </c>
      <c r="C231" s="15"/>
      <c r="D231" s="15"/>
      <c r="E231" s="15"/>
      <c r="F231" s="16">
        <v>26779.7</v>
      </c>
      <c r="G231" s="16">
        <f>SUM(H231-F231)</f>
        <v>2299.2999999999993</v>
      </c>
      <c r="H231" s="16">
        <f>26779.7+1117.7+1181.6</f>
        <v>29079</v>
      </c>
      <c r="I231" s="16">
        <v>13791.4</v>
      </c>
      <c r="J231" s="17">
        <v>12357.5</v>
      </c>
    </row>
    <row r="232" spans="1:11" ht="51">
      <c r="A232" s="18" t="s">
        <v>244</v>
      </c>
      <c r="B232" s="19" t="s">
        <v>245</v>
      </c>
      <c r="C232" s="19"/>
      <c r="D232" s="19"/>
      <c r="E232" s="19"/>
      <c r="F232" s="20">
        <v>13974.4</v>
      </c>
      <c r="G232" s="20">
        <f>SUM(H232-F232)</f>
        <v>1117.7000000000007</v>
      </c>
      <c r="H232" s="42">
        <f>13974.4+1117.7</f>
        <v>15092.1</v>
      </c>
      <c r="I232" s="20">
        <v>13791.4</v>
      </c>
      <c r="J232" s="21">
        <v>12357.5</v>
      </c>
    </row>
    <row r="233" spans="1:11" ht="102">
      <c r="A233" s="22" t="s">
        <v>246</v>
      </c>
      <c r="B233" s="23" t="s">
        <v>247</v>
      </c>
      <c r="C233" s="23"/>
      <c r="D233" s="23"/>
      <c r="E233" s="23"/>
      <c r="F233" s="24">
        <v>13321.4</v>
      </c>
      <c r="G233" s="24">
        <f t="shared" ref="G233:G237" si="33">SUM(H233-F233)</f>
        <v>1051.7999999999993</v>
      </c>
      <c r="H233" s="24">
        <f>13321.4+1051.8</f>
        <v>14373.199999999999</v>
      </c>
      <c r="I233" s="24">
        <v>13791.4</v>
      </c>
      <c r="J233" s="25">
        <v>12357.5</v>
      </c>
    </row>
    <row r="234" spans="1:11" ht="178.5">
      <c r="A234" s="26" t="s">
        <v>409</v>
      </c>
      <c r="B234" s="27" t="s">
        <v>247</v>
      </c>
      <c r="C234" s="27" t="s">
        <v>30</v>
      </c>
      <c r="D234" s="27" t="s">
        <v>379</v>
      </c>
      <c r="E234" s="27" t="s">
        <v>13</v>
      </c>
      <c r="F234" s="24">
        <v>11464.9</v>
      </c>
      <c r="G234" s="24">
        <f t="shared" si="33"/>
        <v>1051.7999999999993</v>
      </c>
      <c r="H234" s="24">
        <f>11464.9+1051.8</f>
        <v>12516.699999999999</v>
      </c>
      <c r="I234" s="24">
        <v>11860.6</v>
      </c>
      <c r="J234" s="25">
        <v>11970.5</v>
      </c>
      <c r="K234" s="1">
        <v>1051.8</v>
      </c>
    </row>
    <row r="235" spans="1:11" ht="140.25">
      <c r="A235" s="26" t="s">
        <v>443</v>
      </c>
      <c r="B235" s="27" t="s">
        <v>247</v>
      </c>
      <c r="C235" s="27" t="s">
        <v>37</v>
      </c>
      <c r="D235" s="27" t="s">
        <v>379</v>
      </c>
      <c r="E235" s="27" t="s">
        <v>383</v>
      </c>
      <c r="F235" s="24">
        <v>1856.5</v>
      </c>
      <c r="G235" s="24">
        <f t="shared" si="33"/>
        <v>0</v>
      </c>
      <c r="H235" s="24">
        <v>1856.5</v>
      </c>
      <c r="I235" s="24">
        <v>1930.8</v>
      </c>
      <c r="J235" s="25">
        <v>387</v>
      </c>
    </row>
    <row r="236" spans="1:11" ht="89.25">
      <c r="A236" s="22" t="s">
        <v>248</v>
      </c>
      <c r="B236" s="23" t="s">
        <v>249</v>
      </c>
      <c r="C236" s="23"/>
      <c r="D236" s="23"/>
      <c r="E236" s="23"/>
      <c r="F236" s="24">
        <v>653</v>
      </c>
      <c r="G236" s="24">
        <f t="shared" si="33"/>
        <v>65.899999999999977</v>
      </c>
      <c r="H236" s="24">
        <f>653+65.9</f>
        <v>718.9</v>
      </c>
      <c r="I236" s="24">
        <v>0</v>
      </c>
      <c r="J236" s="25">
        <v>0</v>
      </c>
    </row>
    <row r="237" spans="1:11" ht="153">
      <c r="A237" s="26" t="s">
        <v>410</v>
      </c>
      <c r="B237" s="27" t="s">
        <v>249</v>
      </c>
      <c r="C237" s="27" t="s">
        <v>30</v>
      </c>
      <c r="D237" s="27" t="s">
        <v>379</v>
      </c>
      <c r="E237" s="27" t="s">
        <v>13</v>
      </c>
      <c r="F237" s="24">
        <v>653</v>
      </c>
      <c r="G237" s="24">
        <f t="shared" si="33"/>
        <v>65.899999999999977</v>
      </c>
      <c r="H237" s="24">
        <f>653+65.9</f>
        <v>718.9</v>
      </c>
      <c r="I237" s="24">
        <v>0</v>
      </c>
      <c r="J237" s="25">
        <v>0</v>
      </c>
      <c r="K237" s="1">
        <v>65.900000000000006</v>
      </c>
    </row>
    <row r="238" spans="1:11" ht="38.25">
      <c r="A238" s="18" t="s">
        <v>250</v>
      </c>
      <c r="B238" s="19" t="s">
        <v>251</v>
      </c>
      <c r="C238" s="19"/>
      <c r="D238" s="19"/>
      <c r="E238" s="19"/>
      <c r="F238" s="20">
        <v>150</v>
      </c>
      <c r="G238" s="20">
        <f>SUM(H238-F238)</f>
        <v>0</v>
      </c>
      <c r="H238" s="42">
        <f>150</f>
        <v>150</v>
      </c>
      <c r="I238" s="20">
        <v>0</v>
      </c>
      <c r="J238" s="21">
        <v>0</v>
      </c>
    </row>
    <row r="239" spans="1:11" ht="63.75">
      <c r="A239" s="22" t="s">
        <v>252</v>
      </c>
      <c r="B239" s="23" t="s">
        <v>253</v>
      </c>
      <c r="C239" s="23"/>
      <c r="D239" s="23"/>
      <c r="E239" s="23"/>
      <c r="F239" s="24">
        <v>150</v>
      </c>
      <c r="G239" s="24">
        <f t="shared" ref="G239:G240" si="34">SUM(H239-F239)</f>
        <v>0</v>
      </c>
      <c r="H239" s="24">
        <v>150</v>
      </c>
      <c r="I239" s="24">
        <v>0</v>
      </c>
      <c r="J239" s="25">
        <v>0</v>
      </c>
    </row>
    <row r="240" spans="1:11" ht="76.5">
      <c r="A240" s="26" t="s">
        <v>532</v>
      </c>
      <c r="B240" s="27" t="s">
        <v>253</v>
      </c>
      <c r="C240" s="27" t="s">
        <v>62</v>
      </c>
      <c r="D240" s="27" t="s">
        <v>379</v>
      </c>
      <c r="E240" s="27" t="s">
        <v>380</v>
      </c>
      <c r="F240" s="24">
        <v>150</v>
      </c>
      <c r="G240" s="24">
        <f t="shared" si="34"/>
        <v>0</v>
      </c>
      <c r="H240" s="24">
        <v>150</v>
      </c>
      <c r="I240" s="24">
        <v>0</v>
      </c>
      <c r="J240" s="25">
        <v>0</v>
      </c>
    </row>
    <row r="241" spans="1:11" ht="38.25">
      <c r="A241" s="18" t="s">
        <v>254</v>
      </c>
      <c r="B241" s="19" t="s">
        <v>255</v>
      </c>
      <c r="C241" s="19"/>
      <c r="D241" s="19"/>
      <c r="E241" s="19"/>
      <c r="F241" s="20">
        <v>12655.3</v>
      </c>
      <c r="G241" s="20">
        <f>SUM(H241-F241)</f>
        <v>1223.5</v>
      </c>
      <c r="H241" s="42">
        <f>12655.3+1168.9+54.6</f>
        <v>13878.8</v>
      </c>
      <c r="I241" s="20">
        <v>0</v>
      </c>
      <c r="J241" s="21">
        <v>0</v>
      </c>
    </row>
    <row r="242" spans="1:11" ht="89.25">
      <c r="A242" s="22" t="s">
        <v>256</v>
      </c>
      <c r="B242" s="23" t="s">
        <v>257</v>
      </c>
      <c r="C242" s="23"/>
      <c r="D242" s="23"/>
      <c r="E242" s="23"/>
      <c r="F242" s="24">
        <v>560.70000000000005</v>
      </c>
      <c r="G242" s="24">
        <f t="shared" ref="G242:G243" si="35">SUM(H242-F242)</f>
        <v>54.600000000000023</v>
      </c>
      <c r="H242" s="41">
        <f>560.7+54.6</f>
        <v>615.30000000000007</v>
      </c>
      <c r="I242" s="24">
        <v>0</v>
      </c>
      <c r="J242" s="25">
        <v>0</v>
      </c>
    </row>
    <row r="243" spans="1:11" ht="165.75">
      <c r="A243" s="26" t="s">
        <v>411</v>
      </c>
      <c r="B243" s="27" t="s">
        <v>257</v>
      </c>
      <c r="C243" s="27" t="s">
        <v>30</v>
      </c>
      <c r="D243" s="27" t="s">
        <v>379</v>
      </c>
      <c r="E243" s="27" t="s">
        <v>380</v>
      </c>
      <c r="F243" s="24">
        <v>540.70000000000005</v>
      </c>
      <c r="G243" s="24">
        <f t="shared" si="35"/>
        <v>54.600000000000023</v>
      </c>
      <c r="H243" s="41">
        <f>540.7+54.6</f>
        <v>595.30000000000007</v>
      </c>
      <c r="I243" s="24">
        <v>0</v>
      </c>
      <c r="J243" s="25">
        <v>0</v>
      </c>
      <c r="K243" s="1">
        <v>54.6</v>
      </c>
    </row>
    <row r="244" spans="1:11" ht="114.75">
      <c r="A244" s="26" t="s">
        <v>444</v>
      </c>
      <c r="B244" s="27" t="s">
        <v>257</v>
      </c>
      <c r="C244" s="27" t="s">
        <v>37</v>
      </c>
      <c r="D244" s="27" t="s">
        <v>379</v>
      </c>
      <c r="E244" s="27" t="s">
        <v>380</v>
      </c>
      <c r="F244" s="24">
        <v>20</v>
      </c>
      <c r="G244" s="24">
        <f t="shared" ref="G244:G247" si="36">SUM(H244-F244)</f>
        <v>0</v>
      </c>
      <c r="H244" s="24">
        <v>20</v>
      </c>
      <c r="I244" s="24">
        <v>0</v>
      </c>
      <c r="J244" s="25">
        <v>0</v>
      </c>
    </row>
    <row r="245" spans="1:11" ht="63.75">
      <c r="A245" s="22" t="s">
        <v>258</v>
      </c>
      <c r="B245" s="23" t="s">
        <v>259</v>
      </c>
      <c r="C245" s="23"/>
      <c r="D245" s="23"/>
      <c r="E245" s="23"/>
      <c r="F245" s="24">
        <v>12094.6</v>
      </c>
      <c r="G245" s="24">
        <f t="shared" si="36"/>
        <v>1168.8999999999996</v>
      </c>
      <c r="H245" s="24">
        <f>12094.6+1168.9</f>
        <v>13263.5</v>
      </c>
      <c r="I245" s="24">
        <v>0</v>
      </c>
      <c r="J245" s="25">
        <v>0</v>
      </c>
    </row>
    <row r="246" spans="1:11" ht="140.25">
      <c r="A246" s="26" t="s">
        <v>412</v>
      </c>
      <c r="B246" s="27" t="s">
        <v>259</v>
      </c>
      <c r="C246" s="27" t="s">
        <v>30</v>
      </c>
      <c r="D246" s="27" t="s">
        <v>379</v>
      </c>
      <c r="E246" s="27" t="s">
        <v>380</v>
      </c>
      <c r="F246" s="24">
        <v>11589.6</v>
      </c>
      <c r="G246" s="24">
        <f t="shared" si="36"/>
        <v>1168.8999999999996</v>
      </c>
      <c r="H246" s="41">
        <f>11589.6+1168.9</f>
        <v>12758.5</v>
      </c>
      <c r="I246" s="24">
        <v>0</v>
      </c>
      <c r="J246" s="25">
        <v>0</v>
      </c>
      <c r="K246" s="1">
        <v>1168.9000000000001</v>
      </c>
    </row>
    <row r="247" spans="1:11" ht="102">
      <c r="A247" s="26" t="s">
        <v>445</v>
      </c>
      <c r="B247" s="27" t="s">
        <v>259</v>
      </c>
      <c r="C247" s="27" t="s">
        <v>37</v>
      </c>
      <c r="D247" s="27" t="s">
        <v>379</v>
      </c>
      <c r="E247" s="27" t="s">
        <v>380</v>
      </c>
      <c r="F247" s="24">
        <v>505</v>
      </c>
      <c r="G247" s="24">
        <f t="shared" si="36"/>
        <v>0</v>
      </c>
      <c r="H247" s="24">
        <v>505</v>
      </c>
      <c r="I247" s="24">
        <v>0</v>
      </c>
      <c r="J247" s="25">
        <v>0</v>
      </c>
    </row>
    <row r="248" spans="1:11" ht="105.75" thickBot="1">
      <c r="A248" s="10" t="s">
        <v>260</v>
      </c>
      <c r="B248" s="11" t="s">
        <v>261</v>
      </c>
      <c r="C248" s="11"/>
      <c r="D248" s="11"/>
      <c r="E248" s="11"/>
      <c r="F248" s="12">
        <v>30104</v>
      </c>
      <c r="G248" s="12">
        <f>SUM(H248-F248)</f>
        <v>2085</v>
      </c>
      <c r="H248" s="62">
        <f>30179+2010</f>
        <v>32189</v>
      </c>
      <c r="I248" s="12">
        <v>27362.1</v>
      </c>
      <c r="J248" s="13">
        <v>30201.599999999999</v>
      </c>
    </row>
    <row r="249" spans="1:11" ht="38.25">
      <c r="A249" s="14" t="s">
        <v>262</v>
      </c>
      <c r="B249" s="15" t="s">
        <v>263</v>
      </c>
      <c r="C249" s="15"/>
      <c r="D249" s="15"/>
      <c r="E249" s="15"/>
      <c r="F249" s="16">
        <v>876.9</v>
      </c>
      <c r="G249" s="16">
        <f>SUM(H249-F249)</f>
        <v>0</v>
      </c>
      <c r="H249" s="16">
        <v>876.9</v>
      </c>
      <c r="I249" s="16">
        <v>366.2</v>
      </c>
      <c r="J249" s="17">
        <v>296.3</v>
      </c>
    </row>
    <row r="250" spans="1:11" ht="25.5">
      <c r="A250" s="18" t="s">
        <v>264</v>
      </c>
      <c r="B250" s="19" t="s">
        <v>265</v>
      </c>
      <c r="C250" s="19"/>
      <c r="D250" s="19"/>
      <c r="E250" s="19"/>
      <c r="F250" s="20">
        <v>876.9</v>
      </c>
      <c r="G250" s="20">
        <f>SUM(H250-F250)</f>
        <v>0</v>
      </c>
      <c r="H250" s="20">
        <v>876.9</v>
      </c>
      <c r="I250" s="20">
        <v>366.2</v>
      </c>
      <c r="J250" s="21">
        <v>296.3</v>
      </c>
    </row>
    <row r="251" spans="1:11" ht="127.5">
      <c r="A251" s="22" t="s">
        <v>266</v>
      </c>
      <c r="B251" s="23" t="s">
        <v>267</v>
      </c>
      <c r="C251" s="23"/>
      <c r="D251" s="23"/>
      <c r="E251" s="23"/>
      <c r="F251" s="24">
        <v>876.9</v>
      </c>
      <c r="G251" s="24">
        <f t="shared" ref="G251:G252" si="37">SUM(H251-F251)</f>
        <v>0</v>
      </c>
      <c r="H251" s="24">
        <v>876.9</v>
      </c>
      <c r="I251" s="24">
        <v>366.2</v>
      </c>
      <c r="J251" s="25">
        <v>296.3</v>
      </c>
    </row>
    <row r="252" spans="1:11" ht="165.75">
      <c r="A252" s="26" t="s">
        <v>521</v>
      </c>
      <c r="B252" s="27" t="s">
        <v>267</v>
      </c>
      <c r="C252" s="27" t="s">
        <v>69</v>
      </c>
      <c r="D252" s="27" t="s">
        <v>381</v>
      </c>
      <c r="E252" s="27" t="s">
        <v>387</v>
      </c>
      <c r="F252" s="24">
        <v>876.9</v>
      </c>
      <c r="G252" s="24">
        <f t="shared" si="37"/>
        <v>0</v>
      </c>
      <c r="H252" s="24">
        <v>876.9</v>
      </c>
      <c r="I252" s="24">
        <v>366.2</v>
      </c>
      <c r="J252" s="25">
        <v>296.3</v>
      </c>
    </row>
    <row r="253" spans="1:11" ht="38.25">
      <c r="A253" s="14" t="s">
        <v>268</v>
      </c>
      <c r="B253" s="15" t="s">
        <v>269</v>
      </c>
      <c r="C253" s="15"/>
      <c r="D253" s="15"/>
      <c r="E253" s="15"/>
      <c r="F253" s="16">
        <v>11665.8</v>
      </c>
      <c r="G253" s="16">
        <f>SUM(H253-F253)</f>
        <v>552.10000000000036</v>
      </c>
      <c r="H253" s="16">
        <f>11740.8+477.1</f>
        <v>12217.9</v>
      </c>
      <c r="I253" s="16">
        <v>8665.7999999999993</v>
      </c>
      <c r="J253" s="17">
        <v>11313.4</v>
      </c>
    </row>
    <row r="254" spans="1:11" ht="63.75">
      <c r="A254" s="18" t="s">
        <v>270</v>
      </c>
      <c r="B254" s="19" t="s">
        <v>271</v>
      </c>
      <c r="C254" s="19"/>
      <c r="D254" s="19"/>
      <c r="E254" s="19"/>
      <c r="F254" s="20">
        <v>500</v>
      </c>
      <c r="G254" s="20">
        <f>SUM(H254-F254)</f>
        <v>0</v>
      </c>
      <c r="H254" s="20">
        <v>500</v>
      </c>
      <c r="I254" s="20">
        <v>500</v>
      </c>
      <c r="J254" s="21">
        <v>3147.6</v>
      </c>
    </row>
    <row r="255" spans="1:11" ht="25.5">
      <c r="A255" s="22" t="s">
        <v>272</v>
      </c>
      <c r="B255" s="23" t="s">
        <v>273</v>
      </c>
      <c r="C255" s="23"/>
      <c r="D255" s="23"/>
      <c r="E255" s="23"/>
      <c r="F255" s="24">
        <v>500</v>
      </c>
      <c r="G255" s="24">
        <f t="shared" ref="G255:G256" si="38">SUM(H255-F255)</f>
        <v>0</v>
      </c>
      <c r="H255" s="24">
        <v>500</v>
      </c>
      <c r="I255" s="24">
        <v>500</v>
      </c>
      <c r="J255" s="25">
        <v>3147.6</v>
      </c>
    </row>
    <row r="256" spans="1:11" ht="38.25">
      <c r="A256" s="26" t="s">
        <v>468</v>
      </c>
      <c r="B256" s="27" t="s">
        <v>273</v>
      </c>
      <c r="C256" s="27" t="s">
        <v>84</v>
      </c>
      <c r="D256" s="27" t="s">
        <v>16</v>
      </c>
      <c r="E256" s="27" t="s">
        <v>384</v>
      </c>
      <c r="F256" s="24">
        <v>500</v>
      </c>
      <c r="G256" s="24">
        <f t="shared" si="38"/>
        <v>0</v>
      </c>
      <c r="H256" s="24">
        <v>500</v>
      </c>
      <c r="I256" s="24">
        <v>500</v>
      </c>
      <c r="J256" s="25">
        <v>3147.6</v>
      </c>
    </row>
    <row r="257" spans="1:11" ht="63.75">
      <c r="A257" s="18" t="s">
        <v>274</v>
      </c>
      <c r="B257" s="19" t="s">
        <v>275</v>
      </c>
      <c r="C257" s="19"/>
      <c r="D257" s="19"/>
      <c r="E257" s="19"/>
      <c r="F257" s="20">
        <v>8165.8</v>
      </c>
      <c r="G257" s="20">
        <f>SUM(H257-F257)</f>
        <v>0</v>
      </c>
      <c r="H257" s="20">
        <f>8165.8</f>
        <v>8165.8</v>
      </c>
      <c r="I257" s="20">
        <v>8165.8</v>
      </c>
      <c r="J257" s="21">
        <v>8165.8</v>
      </c>
    </row>
    <row r="258" spans="1:11" ht="38.25">
      <c r="A258" s="22" t="s">
        <v>276</v>
      </c>
      <c r="B258" s="23" t="s">
        <v>277</v>
      </c>
      <c r="C258" s="23"/>
      <c r="D258" s="23"/>
      <c r="E258" s="23"/>
      <c r="F258" s="24">
        <v>8165.8</v>
      </c>
      <c r="G258" s="24">
        <f t="shared" ref="G258:G259" si="39">SUM(H258-F258)</f>
        <v>0</v>
      </c>
      <c r="H258" s="24">
        <v>8165.8</v>
      </c>
      <c r="I258" s="24">
        <v>8165.8</v>
      </c>
      <c r="J258" s="25">
        <v>8165.8</v>
      </c>
    </row>
    <row r="259" spans="1:11" ht="51">
      <c r="A259" s="26" t="s">
        <v>477</v>
      </c>
      <c r="B259" s="27" t="s">
        <v>277</v>
      </c>
      <c r="C259" s="27" t="s">
        <v>44</v>
      </c>
      <c r="D259" s="27" t="s">
        <v>387</v>
      </c>
      <c r="E259" s="27" t="s">
        <v>384</v>
      </c>
      <c r="F259" s="24">
        <v>8165.8</v>
      </c>
      <c r="G259" s="24">
        <f t="shared" si="39"/>
        <v>0</v>
      </c>
      <c r="H259" s="24">
        <v>8165.8</v>
      </c>
      <c r="I259" s="24">
        <v>8165.8</v>
      </c>
      <c r="J259" s="25">
        <v>8165.8</v>
      </c>
    </row>
    <row r="260" spans="1:11" ht="51">
      <c r="A260" s="18" t="s">
        <v>549</v>
      </c>
      <c r="B260" s="19" t="s">
        <v>278</v>
      </c>
      <c r="C260" s="19"/>
      <c r="D260" s="19"/>
      <c r="E260" s="19"/>
      <c r="F260" s="20">
        <v>3000</v>
      </c>
      <c r="G260" s="20">
        <f>SUM(H260-F260)</f>
        <v>552.09999999999991</v>
      </c>
      <c r="H260" s="20">
        <f>3075+477.1</f>
        <v>3552.1</v>
      </c>
      <c r="I260" s="20">
        <v>0</v>
      </c>
      <c r="J260" s="21">
        <v>0</v>
      </c>
    </row>
    <row r="261" spans="1:11" ht="25.5">
      <c r="A261" s="22" t="s">
        <v>67</v>
      </c>
      <c r="B261" s="23" t="s">
        <v>279</v>
      </c>
      <c r="C261" s="23"/>
      <c r="D261" s="23"/>
      <c r="E261" s="23"/>
      <c r="F261" s="24">
        <v>0</v>
      </c>
      <c r="G261" s="24">
        <f>SUM(H261-F261)</f>
        <v>75</v>
      </c>
      <c r="H261" s="24">
        <v>75</v>
      </c>
      <c r="I261" s="24">
        <v>0</v>
      </c>
      <c r="J261" s="25">
        <v>0</v>
      </c>
    </row>
    <row r="262" spans="1:11" ht="38.25">
      <c r="A262" s="26" t="s">
        <v>482</v>
      </c>
      <c r="B262" s="27" t="s">
        <v>279</v>
      </c>
      <c r="C262" s="27" t="s">
        <v>44</v>
      </c>
      <c r="D262" s="27" t="s">
        <v>387</v>
      </c>
      <c r="E262" s="27" t="s">
        <v>384</v>
      </c>
      <c r="F262" s="24">
        <v>0</v>
      </c>
      <c r="G262" s="24">
        <f t="shared" ref="G262:G266" si="40">SUM(H262-F262)</f>
        <v>75</v>
      </c>
      <c r="H262" s="24">
        <v>75</v>
      </c>
      <c r="I262" s="24">
        <v>0</v>
      </c>
      <c r="J262" s="25">
        <v>0</v>
      </c>
    </row>
    <row r="263" spans="1:11" ht="25.5">
      <c r="A263" s="22" t="s">
        <v>272</v>
      </c>
      <c r="B263" s="23" t="s">
        <v>280</v>
      </c>
      <c r="C263" s="23"/>
      <c r="D263" s="23"/>
      <c r="E263" s="23"/>
      <c r="F263" s="24">
        <v>3000</v>
      </c>
      <c r="G263" s="24">
        <f t="shared" si="40"/>
        <v>0</v>
      </c>
      <c r="H263" s="24">
        <v>3000</v>
      </c>
      <c r="I263" s="24">
        <v>0</v>
      </c>
      <c r="J263" s="25">
        <v>0</v>
      </c>
    </row>
    <row r="264" spans="1:11" ht="38.25">
      <c r="A264" s="26" t="s">
        <v>481</v>
      </c>
      <c r="B264" s="27" t="s">
        <v>280</v>
      </c>
      <c r="C264" s="27" t="s">
        <v>44</v>
      </c>
      <c r="D264" s="27" t="s">
        <v>387</v>
      </c>
      <c r="E264" s="27" t="s">
        <v>384</v>
      </c>
      <c r="F264" s="24">
        <v>3000</v>
      </c>
      <c r="G264" s="24">
        <f t="shared" si="40"/>
        <v>0</v>
      </c>
      <c r="H264" s="24">
        <v>3000</v>
      </c>
      <c r="I264" s="24">
        <v>0</v>
      </c>
      <c r="J264" s="25">
        <v>0</v>
      </c>
    </row>
    <row r="265" spans="1:11">
      <c r="A265" s="37" t="s">
        <v>546</v>
      </c>
      <c r="B265" s="60" t="s">
        <v>548</v>
      </c>
      <c r="C265" s="27"/>
      <c r="D265" s="27"/>
      <c r="E265" s="27"/>
      <c r="F265" s="24">
        <v>0</v>
      </c>
      <c r="G265" s="24">
        <f t="shared" si="40"/>
        <v>477.1</v>
      </c>
      <c r="H265" s="24">
        <v>477.1</v>
      </c>
      <c r="I265" s="24">
        <v>0</v>
      </c>
      <c r="J265" s="25">
        <v>0</v>
      </c>
    </row>
    <row r="266" spans="1:11" ht="25.5">
      <c r="A266" s="37" t="s">
        <v>547</v>
      </c>
      <c r="B266" s="60" t="s">
        <v>548</v>
      </c>
      <c r="C266" s="27" t="s">
        <v>44</v>
      </c>
      <c r="D266" s="27" t="s">
        <v>383</v>
      </c>
      <c r="E266" s="27" t="s">
        <v>384</v>
      </c>
      <c r="F266" s="24">
        <v>0</v>
      </c>
      <c r="G266" s="24">
        <f t="shared" si="40"/>
        <v>477.1</v>
      </c>
      <c r="H266" s="24">
        <v>477.1</v>
      </c>
      <c r="I266" s="24">
        <v>0</v>
      </c>
      <c r="J266" s="25">
        <v>0</v>
      </c>
      <c r="K266" s="1">
        <v>477.1</v>
      </c>
    </row>
    <row r="267" spans="1:11" ht="51">
      <c r="A267" s="14" t="s">
        <v>281</v>
      </c>
      <c r="B267" s="15" t="s">
        <v>282</v>
      </c>
      <c r="C267" s="15"/>
      <c r="D267" s="15"/>
      <c r="E267" s="15"/>
      <c r="F267" s="16">
        <v>2421</v>
      </c>
      <c r="G267" s="16">
        <f>SUM(H267-F267)</f>
        <v>87.599999999999909</v>
      </c>
      <c r="H267" s="16">
        <f>2421+45+42.6</f>
        <v>2508.6</v>
      </c>
      <c r="I267" s="16">
        <v>2636</v>
      </c>
      <c r="J267" s="17">
        <v>2350</v>
      </c>
    </row>
    <row r="268" spans="1:11" ht="51">
      <c r="A268" s="18" t="s">
        <v>283</v>
      </c>
      <c r="B268" s="19" t="s">
        <v>284</v>
      </c>
      <c r="C268" s="19"/>
      <c r="D268" s="19"/>
      <c r="E268" s="19"/>
      <c r="F268" s="20">
        <v>2170</v>
      </c>
      <c r="G268" s="20">
        <f>SUM(H268-F268)</f>
        <v>87.599999999999909</v>
      </c>
      <c r="H268" s="20">
        <f>2170+45+42.6</f>
        <v>2257.6</v>
      </c>
      <c r="I268" s="20">
        <v>2350</v>
      </c>
      <c r="J268" s="21">
        <v>2350</v>
      </c>
    </row>
    <row r="269" spans="1:11" ht="127.5">
      <c r="A269" s="22" t="s">
        <v>285</v>
      </c>
      <c r="B269" s="23" t="s">
        <v>286</v>
      </c>
      <c r="C269" s="23"/>
      <c r="D269" s="23"/>
      <c r="E269" s="23"/>
      <c r="F269" s="24">
        <v>0</v>
      </c>
      <c r="G269" s="24">
        <f>SUM(H269-F269)</f>
        <v>141.6</v>
      </c>
      <c r="H269" s="24">
        <f>54+87.6</f>
        <v>141.6</v>
      </c>
      <c r="I269" s="24">
        <v>0</v>
      </c>
      <c r="J269" s="25">
        <v>0</v>
      </c>
    </row>
    <row r="270" spans="1:11" ht="153">
      <c r="A270" s="26" t="s">
        <v>446</v>
      </c>
      <c r="B270" s="27" t="s">
        <v>286</v>
      </c>
      <c r="C270" s="27" t="s">
        <v>37</v>
      </c>
      <c r="D270" s="27" t="s">
        <v>379</v>
      </c>
      <c r="E270" s="27" t="s">
        <v>380</v>
      </c>
      <c r="F270" s="24">
        <v>0</v>
      </c>
      <c r="G270" s="24">
        <f t="shared" ref="G270:G272" si="41">SUM(H270-F270)</f>
        <v>141.6</v>
      </c>
      <c r="H270" s="24">
        <f>54+87.6</f>
        <v>141.6</v>
      </c>
      <c r="I270" s="24">
        <v>0</v>
      </c>
      <c r="J270" s="25">
        <v>0</v>
      </c>
      <c r="K270" s="1">
        <f>45+42.6</f>
        <v>87.6</v>
      </c>
    </row>
    <row r="271" spans="1:11" ht="127.5">
      <c r="A271" s="22" t="s">
        <v>287</v>
      </c>
      <c r="B271" s="23" t="s">
        <v>288</v>
      </c>
      <c r="C271" s="23"/>
      <c r="D271" s="23"/>
      <c r="E271" s="23"/>
      <c r="F271" s="24">
        <v>2170</v>
      </c>
      <c r="G271" s="24">
        <f t="shared" si="41"/>
        <v>-54</v>
      </c>
      <c r="H271" s="24">
        <v>2116</v>
      </c>
      <c r="I271" s="24">
        <v>2350</v>
      </c>
      <c r="J271" s="25">
        <v>2350</v>
      </c>
    </row>
    <row r="272" spans="1:11" ht="153">
      <c r="A272" s="26" t="s">
        <v>447</v>
      </c>
      <c r="B272" s="27" t="s">
        <v>288</v>
      </c>
      <c r="C272" s="27" t="s">
        <v>37</v>
      </c>
      <c r="D272" s="27" t="s">
        <v>381</v>
      </c>
      <c r="E272" s="27" t="s">
        <v>386</v>
      </c>
      <c r="F272" s="24">
        <v>2170</v>
      </c>
      <c r="G272" s="24">
        <f t="shared" si="41"/>
        <v>-54</v>
      </c>
      <c r="H272" s="24">
        <v>2116</v>
      </c>
      <c r="I272" s="24">
        <v>2350</v>
      </c>
      <c r="J272" s="25">
        <v>2350</v>
      </c>
    </row>
    <row r="273" spans="1:11" ht="51">
      <c r="A273" s="18" t="s">
        <v>289</v>
      </c>
      <c r="B273" s="19" t="s">
        <v>290</v>
      </c>
      <c r="C273" s="19"/>
      <c r="D273" s="19"/>
      <c r="E273" s="19"/>
      <c r="F273" s="20">
        <v>251</v>
      </c>
      <c r="G273" s="20">
        <f>SUM(H273-F273)</f>
        <v>0</v>
      </c>
      <c r="H273" s="20">
        <v>251</v>
      </c>
      <c r="I273" s="20">
        <v>286</v>
      </c>
      <c r="J273" s="21">
        <v>0</v>
      </c>
    </row>
    <row r="274" spans="1:11" ht="25.5">
      <c r="A274" s="22" t="s">
        <v>291</v>
      </c>
      <c r="B274" s="23" t="s">
        <v>292</v>
      </c>
      <c r="C274" s="23"/>
      <c r="D274" s="23"/>
      <c r="E274" s="23"/>
      <c r="F274" s="24">
        <v>251</v>
      </c>
      <c r="G274" s="24">
        <f t="shared" ref="G274:G275" si="42">SUM(H274-F274)</f>
        <v>0</v>
      </c>
      <c r="H274" s="24">
        <v>251</v>
      </c>
      <c r="I274" s="24">
        <v>286</v>
      </c>
      <c r="J274" s="25">
        <v>0</v>
      </c>
    </row>
    <row r="275" spans="1:11" ht="38.25">
      <c r="A275" s="26" t="s">
        <v>480</v>
      </c>
      <c r="B275" s="27" t="s">
        <v>292</v>
      </c>
      <c r="C275" s="27" t="s">
        <v>44</v>
      </c>
      <c r="D275" s="27" t="s">
        <v>387</v>
      </c>
      <c r="E275" s="27" t="s">
        <v>382</v>
      </c>
      <c r="F275" s="24">
        <v>251</v>
      </c>
      <c r="G275" s="24">
        <f t="shared" si="42"/>
        <v>0</v>
      </c>
      <c r="H275" s="24">
        <v>251</v>
      </c>
      <c r="I275" s="24">
        <v>286</v>
      </c>
      <c r="J275" s="25">
        <v>0</v>
      </c>
    </row>
    <row r="276" spans="1:11" ht="25.5">
      <c r="A276" s="14" t="s">
        <v>242</v>
      </c>
      <c r="B276" s="15" t="s">
        <v>293</v>
      </c>
      <c r="C276" s="15"/>
      <c r="D276" s="15"/>
      <c r="E276" s="15"/>
      <c r="F276" s="16">
        <v>15140.3</v>
      </c>
      <c r="G276" s="16">
        <f>SUM(H276-F276)</f>
        <v>1445.2999999999993</v>
      </c>
      <c r="H276" s="16">
        <f>15140.3+30.8+121+567.3+726.2</f>
        <v>16585.599999999999</v>
      </c>
      <c r="I276" s="16">
        <v>15694.1</v>
      </c>
      <c r="J276" s="17">
        <v>16241.9</v>
      </c>
    </row>
    <row r="277" spans="1:11" ht="76.5">
      <c r="A277" s="18" t="s">
        <v>294</v>
      </c>
      <c r="B277" s="19" t="s">
        <v>295</v>
      </c>
      <c r="C277" s="19"/>
      <c r="D277" s="19"/>
      <c r="E277" s="19"/>
      <c r="F277" s="20">
        <v>7983.8</v>
      </c>
      <c r="G277" s="20">
        <f>SUM(H277-F277)</f>
        <v>726.19999999999982</v>
      </c>
      <c r="H277" s="20">
        <f>7983.8+726.2</f>
        <v>8710</v>
      </c>
      <c r="I277" s="20">
        <v>8333</v>
      </c>
      <c r="J277" s="21">
        <v>8637.2000000000007</v>
      </c>
    </row>
    <row r="278" spans="1:11" ht="140.25">
      <c r="A278" s="22" t="s">
        <v>296</v>
      </c>
      <c r="B278" s="23" t="s">
        <v>297</v>
      </c>
      <c r="C278" s="23"/>
      <c r="D278" s="23"/>
      <c r="E278" s="23"/>
      <c r="F278" s="24">
        <v>7983.8</v>
      </c>
      <c r="G278" s="24">
        <f>SUM(H278-F278)</f>
        <v>726.19999999999982</v>
      </c>
      <c r="H278" s="24">
        <f>7983.8+726.2</f>
        <v>8710</v>
      </c>
      <c r="I278" s="24">
        <v>8333</v>
      </c>
      <c r="J278" s="25">
        <v>8637.2000000000007</v>
      </c>
    </row>
    <row r="279" spans="1:11" ht="216.75">
      <c r="A279" s="26" t="s">
        <v>413</v>
      </c>
      <c r="B279" s="27" t="s">
        <v>297</v>
      </c>
      <c r="C279" s="27" t="s">
        <v>30</v>
      </c>
      <c r="D279" s="27" t="s">
        <v>381</v>
      </c>
      <c r="E279" s="27" t="s">
        <v>387</v>
      </c>
      <c r="F279" s="24">
        <v>7208.7</v>
      </c>
      <c r="G279" s="24">
        <f t="shared" ref="G279:G280" si="43">SUM(H279-F279)</f>
        <v>726.19999999999982</v>
      </c>
      <c r="H279" s="24">
        <f>7208.7+726.2</f>
        <v>7934.9</v>
      </c>
      <c r="I279" s="24">
        <v>7522.2</v>
      </c>
      <c r="J279" s="25">
        <v>7822.6</v>
      </c>
      <c r="K279" s="1">
        <v>726.2</v>
      </c>
    </row>
    <row r="280" spans="1:11" ht="165.75">
      <c r="A280" s="26" t="s">
        <v>448</v>
      </c>
      <c r="B280" s="27" t="s">
        <v>297</v>
      </c>
      <c r="C280" s="27" t="s">
        <v>37</v>
      </c>
      <c r="D280" s="27" t="s">
        <v>381</v>
      </c>
      <c r="E280" s="27" t="s">
        <v>387</v>
      </c>
      <c r="F280" s="24">
        <v>775.1</v>
      </c>
      <c r="G280" s="24">
        <f t="shared" si="43"/>
        <v>0</v>
      </c>
      <c r="H280" s="24">
        <v>775.1</v>
      </c>
      <c r="I280" s="24">
        <v>810.8</v>
      </c>
      <c r="J280" s="25">
        <v>814.6</v>
      </c>
    </row>
    <row r="281" spans="1:11" ht="38.25">
      <c r="A281" s="18" t="s">
        <v>298</v>
      </c>
      <c r="B281" s="19" t="s">
        <v>299</v>
      </c>
      <c r="C281" s="19"/>
      <c r="D281" s="19"/>
      <c r="E281" s="19"/>
      <c r="F281" s="20">
        <v>5819.7</v>
      </c>
      <c r="G281" s="20">
        <f>SUM(H281-F281)</f>
        <v>567.30000000000018</v>
      </c>
      <c r="H281" s="20">
        <f>5819.7+567.3</f>
        <v>6387</v>
      </c>
      <c r="I281" s="20">
        <v>6076.4</v>
      </c>
      <c r="J281" s="21">
        <v>6317.8</v>
      </c>
    </row>
    <row r="282" spans="1:11" ht="127.5">
      <c r="A282" s="22" t="s">
        <v>300</v>
      </c>
      <c r="B282" s="23" t="s">
        <v>301</v>
      </c>
      <c r="C282" s="23"/>
      <c r="D282" s="23"/>
      <c r="E282" s="23"/>
      <c r="F282" s="24">
        <v>5819.7</v>
      </c>
      <c r="G282" s="24">
        <f t="shared" ref="G282:G283" si="44">SUM(H282-F282)</f>
        <v>567.30000000000018</v>
      </c>
      <c r="H282" s="24">
        <f>5819.7+567.3</f>
        <v>6387</v>
      </c>
      <c r="I282" s="24">
        <v>6076.4</v>
      </c>
      <c r="J282" s="25">
        <v>6317.8</v>
      </c>
    </row>
    <row r="283" spans="1:11" ht="165.75">
      <c r="A283" s="26" t="s">
        <v>522</v>
      </c>
      <c r="B283" s="27" t="s">
        <v>301</v>
      </c>
      <c r="C283" s="27" t="s">
        <v>69</v>
      </c>
      <c r="D283" s="27" t="s">
        <v>381</v>
      </c>
      <c r="E283" s="27" t="s">
        <v>387</v>
      </c>
      <c r="F283" s="24">
        <v>5819.7</v>
      </c>
      <c r="G283" s="24">
        <f t="shared" si="44"/>
        <v>567.30000000000018</v>
      </c>
      <c r="H283" s="24">
        <f>5819.7+567.3</f>
        <v>6387</v>
      </c>
      <c r="I283" s="24">
        <v>6076.4</v>
      </c>
      <c r="J283" s="25">
        <v>6317.8</v>
      </c>
      <c r="K283" s="1">
        <v>567.29999999999995</v>
      </c>
    </row>
    <row r="284" spans="1:11" ht="38.25">
      <c r="A284" s="18" t="s">
        <v>302</v>
      </c>
      <c r="B284" s="19" t="s">
        <v>303</v>
      </c>
      <c r="C284" s="19"/>
      <c r="D284" s="19"/>
      <c r="E284" s="19"/>
      <c r="F284" s="20">
        <v>1336.8</v>
      </c>
      <c r="G284" s="20">
        <f>SUM(H284-F284)</f>
        <v>121</v>
      </c>
      <c r="H284" s="20">
        <f>1336.8+121</f>
        <v>1457.8</v>
      </c>
      <c r="I284" s="20">
        <v>1284.7</v>
      </c>
      <c r="J284" s="21">
        <v>1286.9000000000001</v>
      </c>
    </row>
    <row r="285" spans="1:11" ht="114.75">
      <c r="A285" s="22" t="s">
        <v>304</v>
      </c>
      <c r="B285" s="23" t="s">
        <v>305</v>
      </c>
      <c r="C285" s="23"/>
      <c r="D285" s="23"/>
      <c r="E285" s="23"/>
      <c r="F285" s="24">
        <v>1336.8</v>
      </c>
      <c r="G285" s="24">
        <f t="shared" ref="G285:G287" si="45">SUM(H285-F285)</f>
        <v>121</v>
      </c>
      <c r="H285" s="24">
        <f>1336.8+121</f>
        <v>1457.8</v>
      </c>
      <c r="I285" s="24">
        <v>1284.7</v>
      </c>
      <c r="J285" s="25">
        <v>1286.9000000000001</v>
      </c>
    </row>
    <row r="286" spans="1:11" ht="127.5">
      <c r="A286" s="26" t="s">
        <v>479</v>
      </c>
      <c r="B286" s="27" t="s">
        <v>305</v>
      </c>
      <c r="C286" s="27" t="s">
        <v>44</v>
      </c>
      <c r="D286" s="27" t="s">
        <v>379</v>
      </c>
      <c r="E286" s="27" t="s">
        <v>380</v>
      </c>
      <c r="F286" s="24">
        <v>45.8</v>
      </c>
      <c r="G286" s="24">
        <f t="shared" si="45"/>
        <v>0</v>
      </c>
      <c r="H286" s="24">
        <v>45.8</v>
      </c>
      <c r="I286" s="24">
        <v>0</v>
      </c>
      <c r="J286" s="25">
        <v>0</v>
      </c>
    </row>
    <row r="287" spans="1:11" ht="153">
      <c r="A287" s="26" t="s">
        <v>523</v>
      </c>
      <c r="B287" s="27" t="s">
        <v>305</v>
      </c>
      <c r="C287" s="27" t="s">
        <v>69</v>
      </c>
      <c r="D287" s="27" t="s">
        <v>379</v>
      </c>
      <c r="E287" s="27" t="s">
        <v>380</v>
      </c>
      <c r="F287" s="24">
        <v>1291</v>
      </c>
      <c r="G287" s="24">
        <f t="shared" si="45"/>
        <v>121</v>
      </c>
      <c r="H287" s="24">
        <f>1291+121</f>
        <v>1412</v>
      </c>
      <c r="I287" s="24">
        <v>1284.7</v>
      </c>
      <c r="J287" s="25">
        <v>1286.9000000000001</v>
      </c>
      <c r="K287" s="1">
        <v>121</v>
      </c>
    </row>
    <row r="288" spans="1:11" ht="60.75" thickBot="1">
      <c r="A288" s="10" t="s">
        <v>306</v>
      </c>
      <c r="B288" s="11" t="s">
        <v>307</v>
      </c>
      <c r="C288" s="11"/>
      <c r="D288" s="11"/>
      <c r="E288" s="11"/>
      <c r="F288" s="12">
        <v>6500</v>
      </c>
      <c r="G288" s="12">
        <f>SUM(H288-F288)</f>
        <v>0</v>
      </c>
      <c r="H288" s="62">
        <v>6500</v>
      </c>
      <c r="I288" s="12">
        <v>6700</v>
      </c>
      <c r="J288" s="13">
        <v>7000</v>
      </c>
    </row>
    <row r="289" spans="1:11" ht="25.5">
      <c r="A289" s="14" t="s">
        <v>308</v>
      </c>
      <c r="B289" s="15" t="s">
        <v>309</v>
      </c>
      <c r="C289" s="15"/>
      <c r="D289" s="15"/>
      <c r="E289" s="15"/>
      <c r="F289" s="16">
        <v>6500</v>
      </c>
      <c r="G289" s="16">
        <f>SUM(H289-F289)</f>
        <v>0</v>
      </c>
      <c r="H289" s="16">
        <v>6500</v>
      </c>
      <c r="I289" s="16">
        <v>6700</v>
      </c>
      <c r="J289" s="17">
        <v>7000</v>
      </c>
    </row>
    <row r="290" spans="1:11" ht="51">
      <c r="A290" s="18" t="s">
        <v>310</v>
      </c>
      <c r="B290" s="19" t="s">
        <v>311</v>
      </c>
      <c r="C290" s="19"/>
      <c r="D290" s="19"/>
      <c r="E290" s="19"/>
      <c r="F290" s="20">
        <v>6500</v>
      </c>
      <c r="G290" s="20">
        <f>SUM(H290-F290)</f>
        <v>0</v>
      </c>
      <c r="H290" s="20">
        <v>6500</v>
      </c>
      <c r="I290" s="20">
        <v>6700</v>
      </c>
      <c r="J290" s="21">
        <v>7000</v>
      </c>
    </row>
    <row r="291" spans="1:11" ht="25.5">
      <c r="A291" s="22" t="s">
        <v>312</v>
      </c>
      <c r="B291" s="23" t="s">
        <v>313</v>
      </c>
      <c r="C291" s="23"/>
      <c r="D291" s="23"/>
      <c r="E291" s="23"/>
      <c r="F291" s="24">
        <v>6500</v>
      </c>
      <c r="G291" s="24">
        <f t="shared" ref="G291:G292" si="46">SUM(H291-F291)</f>
        <v>0</v>
      </c>
      <c r="H291" s="24">
        <v>6500</v>
      </c>
      <c r="I291" s="24">
        <v>6700</v>
      </c>
      <c r="J291" s="25">
        <v>7000</v>
      </c>
    </row>
    <row r="292" spans="1:11" ht="63.75">
      <c r="A292" s="26" t="s">
        <v>524</v>
      </c>
      <c r="B292" s="27" t="s">
        <v>313</v>
      </c>
      <c r="C292" s="27" t="s">
        <v>69</v>
      </c>
      <c r="D292" s="27" t="s">
        <v>381</v>
      </c>
      <c r="E292" s="27" t="s">
        <v>386</v>
      </c>
      <c r="F292" s="24">
        <v>6500</v>
      </c>
      <c r="G292" s="24">
        <f t="shared" si="46"/>
        <v>0</v>
      </c>
      <c r="H292" s="24">
        <v>6500</v>
      </c>
      <c r="I292" s="24">
        <v>6700</v>
      </c>
      <c r="J292" s="25">
        <v>7000</v>
      </c>
    </row>
    <row r="293" spans="1:11" ht="90.75" thickBot="1">
      <c r="A293" s="10" t="s">
        <v>314</v>
      </c>
      <c r="B293" s="11" t="s">
        <v>315</v>
      </c>
      <c r="C293" s="11"/>
      <c r="D293" s="11"/>
      <c r="E293" s="11"/>
      <c r="F293" s="12">
        <v>6015.1</v>
      </c>
      <c r="G293" s="12">
        <f>SUM(H293-F293)</f>
        <v>664.89135999999962</v>
      </c>
      <c r="H293" s="62">
        <f>6159.99136+520</f>
        <v>6679.99136</v>
      </c>
      <c r="I293" s="12">
        <v>5483.1</v>
      </c>
      <c r="J293" s="13">
        <v>5483.1</v>
      </c>
    </row>
    <row r="294" spans="1:11" ht="38.25">
      <c r="A294" s="18" t="s">
        <v>316</v>
      </c>
      <c r="B294" s="19" t="s">
        <v>317</v>
      </c>
      <c r="C294" s="19"/>
      <c r="D294" s="19"/>
      <c r="E294" s="19"/>
      <c r="F294" s="20">
        <v>700</v>
      </c>
      <c r="G294" s="16">
        <f>SUM(H294-F294)</f>
        <v>144.89135999999996</v>
      </c>
      <c r="H294" s="20">
        <v>844.89135999999996</v>
      </c>
      <c r="I294" s="20">
        <v>100</v>
      </c>
      <c r="J294" s="21">
        <v>100</v>
      </c>
    </row>
    <row r="295" spans="1:11" ht="89.25">
      <c r="A295" s="22" t="s">
        <v>318</v>
      </c>
      <c r="B295" s="23" t="s">
        <v>319</v>
      </c>
      <c r="C295" s="23"/>
      <c r="D295" s="23"/>
      <c r="E295" s="23"/>
      <c r="F295" s="24">
        <v>700</v>
      </c>
      <c r="G295" s="20">
        <f>SUM(H295-F295)</f>
        <v>-247.10500000000002</v>
      </c>
      <c r="H295" s="24">
        <v>452.89499999999998</v>
      </c>
      <c r="I295" s="24">
        <v>100</v>
      </c>
      <c r="J295" s="25">
        <v>100</v>
      </c>
    </row>
    <row r="296" spans="1:11" ht="89.25">
      <c r="A296" s="26" t="s">
        <v>533</v>
      </c>
      <c r="B296" s="27" t="s">
        <v>319</v>
      </c>
      <c r="C296" s="27" t="s">
        <v>62</v>
      </c>
      <c r="D296" s="27" t="s">
        <v>379</v>
      </c>
      <c r="E296" s="27" t="s">
        <v>385</v>
      </c>
      <c r="F296" s="24">
        <v>700</v>
      </c>
      <c r="G296" s="24">
        <f>SUM(H296-F296)</f>
        <v>-247.10500000000002</v>
      </c>
      <c r="H296" s="24">
        <v>452.89499999999998</v>
      </c>
      <c r="I296" s="24">
        <v>100</v>
      </c>
      <c r="J296" s="25">
        <v>100</v>
      </c>
    </row>
    <row r="297" spans="1:11" ht="89.25">
      <c r="A297" s="22" t="s">
        <v>320</v>
      </c>
      <c r="B297" s="23" t="s">
        <v>321</v>
      </c>
      <c r="C297" s="23"/>
      <c r="D297" s="23"/>
      <c r="E297" s="23"/>
      <c r="F297" s="24">
        <v>0</v>
      </c>
      <c r="G297" s="24">
        <f t="shared" ref="G297:G300" si="47">SUM(H297-F297)</f>
        <v>144.89135999999999</v>
      </c>
      <c r="H297" s="24">
        <v>144.89135999999999</v>
      </c>
      <c r="I297" s="24">
        <v>0</v>
      </c>
      <c r="J297" s="25">
        <v>0</v>
      </c>
    </row>
    <row r="298" spans="1:11" ht="89.25">
      <c r="A298" s="26" t="s">
        <v>493</v>
      </c>
      <c r="B298" s="27" t="s">
        <v>321</v>
      </c>
      <c r="C298" s="27" t="s">
        <v>44</v>
      </c>
      <c r="D298" s="27" t="s">
        <v>379</v>
      </c>
      <c r="E298" s="27" t="s">
        <v>380</v>
      </c>
      <c r="F298" s="24">
        <v>0</v>
      </c>
      <c r="G298" s="24">
        <f t="shared" si="47"/>
        <v>144.89135999999999</v>
      </c>
      <c r="H298" s="24">
        <v>144.89135999999999</v>
      </c>
      <c r="I298" s="24">
        <v>0</v>
      </c>
      <c r="J298" s="25">
        <v>0</v>
      </c>
      <c r="K298" s="1">
        <v>144.9</v>
      </c>
    </row>
    <row r="299" spans="1:11" ht="102">
      <c r="A299" s="22" t="s">
        <v>322</v>
      </c>
      <c r="B299" s="23" t="s">
        <v>323</v>
      </c>
      <c r="C299" s="23"/>
      <c r="D299" s="23"/>
      <c r="E299" s="23"/>
      <c r="F299" s="24">
        <v>0</v>
      </c>
      <c r="G299" s="24">
        <f t="shared" si="47"/>
        <v>247.10499999999999</v>
      </c>
      <c r="H299" s="24">
        <v>247.10499999999999</v>
      </c>
      <c r="I299" s="24">
        <v>0</v>
      </c>
      <c r="J299" s="25">
        <v>0</v>
      </c>
    </row>
    <row r="300" spans="1:11" ht="114.75">
      <c r="A300" s="26" t="s">
        <v>469</v>
      </c>
      <c r="B300" s="27" t="s">
        <v>323</v>
      </c>
      <c r="C300" s="27" t="s">
        <v>84</v>
      </c>
      <c r="D300" s="27" t="s">
        <v>384</v>
      </c>
      <c r="E300" s="27" t="s">
        <v>16</v>
      </c>
      <c r="F300" s="24">
        <v>0</v>
      </c>
      <c r="G300" s="24">
        <f t="shared" si="47"/>
        <v>247.10499999999999</v>
      </c>
      <c r="H300" s="24">
        <v>247.10499999999999</v>
      </c>
      <c r="I300" s="24">
        <v>0</v>
      </c>
      <c r="J300" s="25">
        <v>0</v>
      </c>
    </row>
    <row r="301" spans="1:11" ht="51">
      <c r="A301" s="18" t="s">
        <v>324</v>
      </c>
      <c r="B301" s="19" t="s">
        <v>325</v>
      </c>
      <c r="C301" s="19"/>
      <c r="D301" s="19"/>
      <c r="E301" s="19"/>
      <c r="F301" s="20">
        <v>5315.1</v>
      </c>
      <c r="G301" s="20">
        <f>SUM(H301-F301)</f>
        <v>520</v>
      </c>
      <c r="H301" s="20">
        <f>5315.1+520</f>
        <v>5835.1</v>
      </c>
      <c r="I301" s="20">
        <v>5383.1</v>
      </c>
      <c r="J301" s="21">
        <v>5383.1</v>
      </c>
    </row>
    <row r="302" spans="1:11" ht="89.25">
      <c r="A302" s="22" t="s">
        <v>326</v>
      </c>
      <c r="B302" s="23" t="s">
        <v>327</v>
      </c>
      <c r="C302" s="23"/>
      <c r="D302" s="23"/>
      <c r="E302" s="23"/>
      <c r="F302" s="24">
        <v>5315.1</v>
      </c>
      <c r="G302" s="24">
        <f>SUM(H302-F302)</f>
        <v>520</v>
      </c>
      <c r="H302" s="24">
        <f>5315.1+520</f>
        <v>5835.1</v>
      </c>
      <c r="I302" s="24">
        <v>5383.1</v>
      </c>
      <c r="J302" s="25">
        <v>5383.1</v>
      </c>
    </row>
    <row r="303" spans="1:11" ht="165.75">
      <c r="A303" s="26" t="s">
        <v>414</v>
      </c>
      <c r="B303" s="27" t="s">
        <v>327</v>
      </c>
      <c r="C303" s="27" t="s">
        <v>30</v>
      </c>
      <c r="D303" s="27" t="s">
        <v>379</v>
      </c>
      <c r="E303" s="27" t="s">
        <v>380</v>
      </c>
      <c r="F303" s="24">
        <v>5161.7</v>
      </c>
      <c r="G303" s="24">
        <f t="shared" ref="G303:G305" si="48">SUM(H303-F303)</f>
        <v>520</v>
      </c>
      <c r="H303" s="24">
        <f>5161.7+520</f>
        <v>5681.7</v>
      </c>
      <c r="I303" s="24">
        <v>5367.9</v>
      </c>
      <c r="J303" s="25">
        <v>5367.9</v>
      </c>
      <c r="K303" s="1">
        <v>520</v>
      </c>
    </row>
    <row r="304" spans="1:11" ht="114.75">
      <c r="A304" s="26" t="s">
        <v>449</v>
      </c>
      <c r="B304" s="27" t="s">
        <v>327</v>
      </c>
      <c r="C304" s="27" t="s">
        <v>37</v>
      </c>
      <c r="D304" s="27" t="s">
        <v>379</v>
      </c>
      <c r="E304" s="27" t="s">
        <v>380</v>
      </c>
      <c r="F304" s="24">
        <v>150.4</v>
      </c>
      <c r="G304" s="24">
        <f t="shared" si="48"/>
        <v>0</v>
      </c>
      <c r="H304" s="24">
        <v>150.4</v>
      </c>
      <c r="I304" s="24">
        <v>12.2</v>
      </c>
      <c r="J304" s="25">
        <v>12.2</v>
      </c>
    </row>
    <row r="305" spans="1:10" ht="102">
      <c r="A305" s="26" t="s">
        <v>534</v>
      </c>
      <c r="B305" s="27" t="s">
        <v>327</v>
      </c>
      <c r="C305" s="27" t="s">
        <v>62</v>
      </c>
      <c r="D305" s="27" t="s">
        <v>379</v>
      </c>
      <c r="E305" s="27" t="s">
        <v>380</v>
      </c>
      <c r="F305" s="24">
        <v>3</v>
      </c>
      <c r="G305" s="24">
        <f t="shared" si="48"/>
        <v>0</v>
      </c>
      <c r="H305" s="24">
        <v>3</v>
      </c>
      <c r="I305" s="24">
        <v>3</v>
      </c>
      <c r="J305" s="25">
        <v>3</v>
      </c>
    </row>
    <row r="306" spans="1:10" ht="75.75" thickBot="1">
      <c r="A306" s="10" t="s">
        <v>328</v>
      </c>
      <c r="B306" s="11" t="s">
        <v>329</v>
      </c>
      <c r="C306" s="11"/>
      <c r="D306" s="11"/>
      <c r="E306" s="11"/>
      <c r="F306" s="12">
        <v>20</v>
      </c>
      <c r="G306" s="12">
        <f>SUM(H306-F306)</f>
        <v>0</v>
      </c>
      <c r="H306" s="12">
        <v>20</v>
      </c>
      <c r="I306" s="12">
        <v>0</v>
      </c>
      <c r="J306" s="13">
        <v>0</v>
      </c>
    </row>
    <row r="307" spans="1:10" ht="38.25">
      <c r="A307" s="18" t="s">
        <v>330</v>
      </c>
      <c r="B307" s="19" t="s">
        <v>331</v>
      </c>
      <c r="C307" s="19"/>
      <c r="D307" s="19"/>
      <c r="E307" s="19"/>
      <c r="F307" s="20">
        <v>10</v>
      </c>
      <c r="G307" s="20">
        <f>SUM(H307-F307)</f>
        <v>0</v>
      </c>
      <c r="H307" s="20">
        <v>10</v>
      </c>
      <c r="I307" s="20">
        <v>0</v>
      </c>
      <c r="J307" s="21">
        <v>0</v>
      </c>
    </row>
    <row r="308" spans="1:10" ht="25.5">
      <c r="A308" s="22" t="s">
        <v>332</v>
      </c>
      <c r="B308" s="23" t="s">
        <v>333</v>
      </c>
      <c r="C308" s="23"/>
      <c r="D308" s="23"/>
      <c r="E308" s="23"/>
      <c r="F308" s="24">
        <v>10</v>
      </c>
      <c r="G308" s="24">
        <f t="shared" ref="G308:G309" si="49">SUM(H308-F308)</f>
        <v>0</v>
      </c>
      <c r="H308" s="24">
        <v>10</v>
      </c>
      <c r="I308" s="24">
        <v>0</v>
      </c>
      <c r="J308" s="25">
        <v>0</v>
      </c>
    </row>
    <row r="309" spans="1:10" ht="51">
      <c r="A309" s="26" t="s">
        <v>450</v>
      </c>
      <c r="B309" s="27" t="s">
        <v>333</v>
      </c>
      <c r="C309" s="27" t="s">
        <v>37</v>
      </c>
      <c r="D309" s="27" t="s">
        <v>379</v>
      </c>
      <c r="E309" s="27" t="s">
        <v>380</v>
      </c>
      <c r="F309" s="24">
        <v>10</v>
      </c>
      <c r="G309" s="24">
        <f t="shared" si="49"/>
        <v>0</v>
      </c>
      <c r="H309" s="24">
        <v>10</v>
      </c>
      <c r="I309" s="24">
        <v>0</v>
      </c>
      <c r="J309" s="25">
        <v>0</v>
      </c>
    </row>
    <row r="310" spans="1:10" ht="38.25">
      <c r="A310" s="18" t="s">
        <v>334</v>
      </c>
      <c r="B310" s="19" t="s">
        <v>335</v>
      </c>
      <c r="C310" s="19"/>
      <c r="D310" s="19"/>
      <c r="E310" s="19"/>
      <c r="F310" s="20">
        <v>5</v>
      </c>
      <c r="G310" s="20">
        <f>SUM(H310-F310)</f>
        <v>0</v>
      </c>
      <c r="H310" s="20">
        <v>5</v>
      </c>
      <c r="I310" s="20">
        <v>0</v>
      </c>
      <c r="J310" s="21">
        <v>0</v>
      </c>
    </row>
    <row r="311" spans="1:10" ht="25.5">
      <c r="A311" s="22" t="s">
        <v>336</v>
      </c>
      <c r="B311" s="23" t="s">
        <v>337</v>
      </c>
      <c r="C311" s="23"/>
      <c r="D311" s="23"/>
      <c r="E311" s="23"/>
      <c r="F311" s="24">
        <v>5</v>
      </c>
      <c r="G311" s="24">
        <f t="shared" ref="G311:G312" si="50">SUM(H311-F311)</f>
        <v>0</v>
      </c>
      <c r="H311" s="24">
        <v>5</v>
      </c>
      <c r="I311" s="24">
        <v>0</v>
      </c>
      <c r="J311" s="25">
        <v>0</v>
      </c>
    </row>
    <row r="312" spans="1:10" ht="51">
      <c r="A312" s="26" t="s">
        <v>451</v>
      </c>
      <c r="B312" s="27" t="s">
        <v>337</v>
      </c>
      <c r="C312" s="27" t="s">
        <v>37</v>
      </c>
      <c r="D312" s="27" t="s">
        <v>379</v>
      </c>
      <c r="E312" s="27" t="s">
        <v>380</v>
      </c>
      <c r="F312" s="24">
        <v>5</v>
      </c>
      <c r="G312" s="24">
        <f t="shared" si="50"/>
        <v>0</v>
      </c>
      <c r="H312" s="24">
        <v>5</v>
      </c>
      <c r="I312" s="24">
        <v>0</v>
      </c>
      <c r="J312" s="25">
        <v>0</v>
      </c>
    </row>
    <row r="313" spans="1:10" ht="25.5">
      <c r="A313" s="18" t="s">
        <v>338</v>
      </c>
      <c r="B313" s="19" t="s">
        <v>339</v>
      </c>
      <c r="C313" s="19"/>
      <c r="D313" s="19"/>
      <c r="E313" s="19"/>
      <c r="F313" s="20">
        <v>5</v>
      </c>
      <c r="G313" s="20">
        <f>SUM(H313-F313)</f>
        <v>0</v>
      </c>
      <c r="H313" s="20">
        <v>5</v>
      </c>
      <c r="I313" s="20">
        <v>0</v>
      </c>
      <c r="J313" s="21">
        <v>0</v>
      </c>
    </row>
    <row r="314" spans="1:10">
      <c r="A314" s="22" t="s">
        <v>340</v>
      </c>
      <c r="B314" s="23" t="s">
        <v>341</v>
      </c>
      <c r="C314" s="23"/>
      <c r="D314" s="23"/>
      <c r="E314" s="23"/>
      <c r="F314" s="24">
        <v>5</v>
      </c>
      <c r="G314" s="24">
        <f t="shared" ref="G314:G315" si="51">SUM(H314-F314)</f>
        <v>0</v>
      </c>
      <c r="H314" s="24">
        <v>5</v>
      </c>
      <c r="I314" s="24">
        <v>0</v>
      </c>
      <c r="J314" s="25">
        <v>0</v>
      </c>
    </row>
    <row r="315" spans="1:10" ht="51">
      <c r="A315" s="26" t="s">
        <v>452</v>
      </c>
      <c r="B315" s="27" t="s">
        <v>341</v>
      </c>
      <c r="C315" s="27" t="s">
        <v>37</v>
      </c>
      <c r="D315" s="27" t="s">
        <v>379</v>
      </c>
      <c r="E315" s="27" t="s">
        <v>380</v>
      </c>
      <c r="F315" s="24">
        <v>5</v>
      </c>
      <c r="G315" s="24">
        <f t="shared" si="51"/>
        <v>0</v>
      </c>
      <c r="H315" s="24">
        <v>5</v>
      </c>
      <c r="I315" s="24">
        <v>0</v>
      </c>
      <c r="J315" s="25">
        <v>0</v>
      </c>
    </row>
    <row r="316" spans="1:10" ht="60.75" thickBot="1">
      <c r="A316" s="10" t="s">
        <v>342</v>
      </c>
      <c r="B316" s="11" t="s">
        <v>343</v>
      </c>
      <c r="C316" s="11"/>
      <c r="D316" s="11"/>
      <c r="E316" s="11"/>
      <c r="F316" s="12">
        <v>114549.6</v>
      </c>
      <c r="G316" s="12">
        <f>SUM(H316-F316)</f>
        <v>298.47419999999693</v>
      </c>
      <c r="H316" s="62">
        <f>114838.0742+10</f>
        <v>114848.0742</v>
      </c>
      <c r="I316" s="12">
        <v>115594</v>
      </c>
      <c r="J316" s="13">
        <v>123861</v>
      </c>
    </row>
    <row r="317" spans="1:10" ht="38.25">
      <c r="A317" s="14" t="s">
        <v>344</v>
      </c>
      <c r="B317" s="15" t="s">
        <v>345</v>
      </c>
      <c r="C317" s="15"/>
      <c r="D317" s="15"/>
      <c r="E317" s="15"/>
      <c r="F317" s="16">
        <v>114549.6</v>
      </c>
      <c r="G317" s="20">
        <f>SUM(H317-F317)</f>
        <v>298.47419999999693</v>
      </c>
      <c r="H317" s="16">
        <f>114838.0742+10</f>
        <v>114848.0742</v>
      </c>
      <c r="I317" s="16">
        <v>115594</v>
      </c>
      <c r="J317" s="17">
        <v>123861</v>
      </c>
    </row>
    <row r="318" spans="1:10" ht="38.25">
      <c r="A318" s="18" t="s">
        <v>346</v>
      </c>
      <c r="B318" s="19" t="s">
        <v>347</v>
      </c>
      <c r="C318" s="19"/>
      <c r="D318" s="19"/>
      <c r="E318" s="19"/>
      <c r="F318" s="20">
        <v>95276.6</v>
      </c>
      <c r="G318" s="20">
        <f>SUM(H318-F318)</f>
        <v>-250</v>
      </c>
      <c r="H318" s="20">
        <v>95026.6</v>
      </c>
      <c r="I318" s="20">
        <v>108037.6</v>
      </c>
      <c r="J318" s="21">
        <v>115994.6</v>
      </c>
    </row>
    <row r="319" spans="1:10" ht="89.25">
      <c r="A319" s="22" t="s">
        <v>348</v>
      </c>
      <c r="B319" s="23" t="s">
        <v>349</v>
      </c>
      <c r="C319" s="23"/>
      <c r="D319" s="23"/>
      <c r="E319" s="23"/>
      <c r="F319" s="24">
        <v>16981</v>
      </c>
      <c r="G319" s="24">
        <f t="shared" ref="G319:G320" si="52">SUM(H319-F319)</f>
        <v>-361.49312999999893</v>
      </c>
      <c r="H319" s="24">
        <v>16619.506870000001</v>
      </c>
      <c r="I319" s="24">
        <v>29742</v>
      </c>
      <c r="J319" s="25">
        <v>37699</v>
      </c>
    </row>
    <row r="320" spans="1:10" ht="114.75">
      <c r="A320" s="26" t="s">
        <v>453</v>
      </c>
      <c r="B320" s="27" t="s">
        <v>349</v>
      </c>
      <c r="C320" s="27" t="s">
        <v>37</v>
      </c>
      <c r="D320" s="27" t="s">
        <v>381</v>
      </c>
      <c r="E320" s="27" t="s">
        <v>388</v>
      </c>
      <c r="F320" s="24">
        <v>16981</v>
      </c>
      <c r="G320" s="24">
        <f t="shared" si="52"/>
        <v>-419.3401300000005</v>
      </c>
      <c r="H320" s="24">
        <v>16561.65987</v>
      </c>
      <c r="I320" s="24">
        <v>29742</v>
      </c>
      <c r="J320" s="25">
        <v>37699</v>
      </c>
    </row>
    <row r="321" spans="1:11" ht="89.25">
      <c r="A321" s="26" t="s">
        <v>492</v>
      </c>
      <c r="B321" s="27" t="s">
        <v>349</v>
      </c>
      <c r="C321" s="27" t="s">
        <v>44</v>
      </c>
      <c r="D321" s="27" t="s">
        <v>381</v>
      </c>
      <c r="E321" s="27" t="s">
        <v>388</v>
      </c>
      <c r="F321" s="24">
        <v>0</v>
      </c>
      <c r="G321" s="24">
        <f t="shared" ref="G321:G324" si="53">SUM(H321-F321)</f>
        <v>57.847000000000001</v>
      </c>
      <c r="H321" s="24">
        <v>57.847000000000001</v>
      </c>
      <c r="I321" s="24">
        <v>0</v>
      </c>
      <c r="J321" s="25">
        <v>0</v>
      </c>
    </row>
    <row r="322" spans="1:11" ht="51">
      <c r="A322" s="22" t="s">
        <v>350</v>
      </c>
      <c r="B322" s="23" t="s">
        <v>351</v>
      </c>
      <c r="C322" s="23"/>
      <c r="D322" s="23"/>
      <c r="E322" s="23"/>
      <c r="F322" s="24">
        <v>78295.600000000006</v>
      </c>
      <c r="G322" s="24">
        <f t="shared" si="53"/>
        <v>111.49312999998801</v>
      </c>
      <c r="H322" s="24">
        <v>78407.093129999994</v>
      </c>
      <c r="I322" s="24">
        <v>78295.600000000006</v>
      </c>
      <c r="J322" s="25">
        <v>78295.600000000006</v>
      </c>
    </row>
    <row r="323" spans="1:11" ht="76.5">
      <c r="A323" s="26" t="s">
        <v>454</v>
      </c>
      <c r="B323" s="27" t="s">
        <v>351</v>
      </c>
      <c r="C323" s="27" t="s">
        <v>37</v>
      </c>
      <c r="D323" s="27" t="s">
        <v>381</v>
      </c>
      <c r="E323" s="27" t="s">
        <v>388</v>
      </c>
      <c r="F323" s="24">
        <v>78295.600000000006</v>
      </c>
      <c r="G323" s="24">
        <f t="shared" si="53"/>
        <v>-78295.600000000006</v>
      </c>
      <c r="H323" s="24">
        <v>0</v>
      </c>
      <c r="I323" s="24">
        <v>78295.600000000006</v>
      </c>
      <c r="J323" s="25">
        <v>78295.600000000006</v>
      </c>
    </row>
    <row r="324" spans="1:11" ht="63.75">
      <c r="A324" s="26" t="s">
        <v>491</v>
      </c>
      <c r="B324" s="27" t="s">
        <v>351</v>
      </c>
      <c r="C324" s="27" t="s">
        <v>44</v>
      </c>
      <c r="D324" s="27" t="s">
        <v>381</v>
      </c>
      <c r="E324" s="27" t="s">
        <v>388</v>
      </c>
      <c r="F324" s="24">
        <v>0</v>
      </c>
      <c r="G324" s="24">
        <f t="shared" si="53"/>
        <v>78407.093129999994</v>
      </c>
      <c r="H324" s="24">
        <v>78407.093129999994</v>
      </c>
      <c r="I324" s="24">
        <v>0</v>
      </c>
      <c r="J324" s="25">
        <v>0</v>
      </c>
    </row>
    <row r="325" spans="1:11" ht="38.25">
      <c r="A325" s="18" t="s">
        <v>352</v>
      </c>
      <c r="B325" s="19" t="s">
        <v>353</v>
      </c>
      <c r="C325" s="19"/>
      <c r="D325" s="19"/>
      <c r="E325" s="19"/>
      <c r="F325" s="20">
        <v>12000</v>
      </c>
      <c r="G325" s="20">
        <f>SUM(H325-F325)</f>
        <v>250</v>
      </c>
      <c r="H325" s="20">
        <v>12250</v>
      </c>
      <c r="I325" s="20">
        <v>0</v>
      </c>
      <c r="J325" s="21">
        <v>0</v>
      </c>
    </row>
    <row r="326" spans="1:11" ht="102">
      <c r="A326" s="22" t="s">
        <v>354</v>
      </c>
      <c r="B326" s="23" t="s">
        <v>355</v>
      </c>
      <c r="C326" s="23"/>
      <c r="D326" s="23"/>
      <c r="E326" s="23"/>
      <c r="F326" s="24">
        <v>12000</v>
      </c>
      <c r="G326" s="24">
        <f t="shared" ref="G326:G327" si="54">SUM(H326-F326)</f>
        <v>250</v>
      </c>
      <c r="H326" s="24">
        <v>12250</v>
      </c>
      <c r="I326" s="24">
        <v>0</v>
      </c>
      <c r="J326" s="25">
        <v>0</v>
      </c>
    </row>
    <row r="327" spans="1:11" ht="102">
      <c r="A327" s="26" t="s">
        <v>478</v>
      </c>
      <c r="B327" s="27" t="s">
        <v>355</v>
      </c>
      <c r="C327" s="27" t="s">
        <v>44</v>
      </c>
      <c r="D327" s="27" t="s">
        <v>381</v>
      </c>
      <c r="E327" s="27" t="s">
        <v>388</v>
      </c>
      <c r="F327" s="24">
        <v>12000</v>
      </c>
      <c r="G327" s="24">
        <f t="shared" si="54"/>
        <v>250</v>
      </c>
      <c r="H327" s="24">
        <v>12250</v>
      </c>
      <c r="I327" s="24">
        <v>0</v>
      </c>
      <c r="J327" s="25">
        <v>0</v>
      </c>
    </row>
    <row r="328" spans="1:11" ht="38.25">
      <c r="A328" s="18" t="s">
        <v>356</v>
      </c>
      <c r="B328" s="19" t="s">
        <v>357</v>
      </c>
      <c r="C328" s="19"/>
      <c r="D328" s="19"/>
      <c r="E328" s="19"/>
      <c r="F328" s="20">
        <v>7273</v>
      </c>
      <c r="G328" s="20">
        <f>SUM(H328-F328)</f>
        <v>298.47419999999966</v>
      </c>
      <c r="H328" s="20">
        <f>7561.4742+10</f>
        <v>7571.4741999999997</v>
      </c>
      <c r="I328" s="20">
        <v>7556.4</v>
      </c>
      <c r="J328" s="21">
        <v>7866.4</v>
      </c>
    </row>
    <row r="329" spans="1:11" ht="102">
      <c r="A329" s="22" t="s">
        <v>358</v>
      </c>
      <c r="B329" s="23" t="s">
        <v>359</v>
      </c>
      <c r="C329" s="23"/>
      <c r="D329" s="23"/>
      <c r="E329" s="23"/>
      <c r="F329" s="24">
        <v>0</v>
      </c>
      <c r="G329" s="24">
        <f>SUM(H329-F329)</f>
        <v>13.074199999999999</v>
      </c>
      <c r="H329" s="24">
        <f>3.0742+10</f>
        <v>13.074199999999999</v>
      </c>
      <c r="I329" s="24">
        <v>0</v>
      </c>
      <c r="J329" s="25">
        <v>0</v>
      </c>
    </row>
    <row r="330" spans="1:11" ht="114.75">
      <c r="A330" s="26" t="s">
        <v>535</v>
      </c>
      <c r="B330" s="27" t="s">
        <v>359</v>
      </c>
      <c r="C330" s="27" t="s">
        <v>62</v>
      </c>
      <c r="D330" s="27" t="s">
        <v>381</v>
      </c>
      <c r="E330" s="27" t="s">
        <v>389</v>
      </c>
      <c r="F330" s="24">
        <v>0</v>
      </c>
      <c r="G330" s="24">
        <f t="shared" ref="G330:G333" si="55">SUM(H330-F330)</f>
        <v>13.074199999999999</v>
      </c>
      <c r="H330" s="24">
        <f>3.0742+10</f>
        <v>13.074199999999999</v>
      </c>
      <c r="I330" s="24">
        <v>0</v>
      </c>
      <c r="J330" s="25">
        <v>0</v>
      </c>
    </row>
    <row r="331" spans="1:11" ht="63.75">
      <c r="A331" s="22" t="s">
        <v>360</v>
      </c>
      <c r="B331" s="23" t="s">
        <v>361</v>
      </c>
      <c r="C331" s="23"/>
      <c r="D331" s="23"/>
      <c r="E331" s="23"/>
      <c r="F331" s="24">
        <v>7273</v>
      </c>
      <c r="G331" s="24">
        <f t="shared" si="55"/>
        <v>285.39999999999964</v>
      </c>
      <c r="H331" s="24">
        <v>7558.4</v>
      </c>
      <c r="I331" s="24">
        <v>7556.4</v>
      </c>
      <c r="J331" s="25">
        <v>7866.4</v>
      </c>
    </row>
    <row r="332" spans="1:11" ht="89.25">
      <c r="A332" s="26" t="s">
        <v>455</v>
      </c>
      <c r="B332" s="27" t="s">
        <v>361</v>
      </c>
      <c r="C332" s="27" t="s">
        <v>37</v>
      </c>
      <c r="D332" s="27" t="s">
        <v>381</v>
      </c>
      <c r="E332" s="27" t="s">
        <v>389</v>
      </c>
      <c r="F332" s="24">
        <v>7112.4</v>
      </c>
      <c r="G332" s="24">
        <f t="shared" si="55"/>
        <v>289.10000000000036</v>
      </c>
      <c r="H332" s="24">
        <v>7401.5</v>
      </c>
      <c r="I332" s="24">
        <v>7389.3</v>
      </c>
      <c r="J332" s="25">
        <v>7692.7</v>
      </c>
      <c r="K332" s="1">
        <v>450</v>
      </c>
    </row>
    <row r="333" spans="1:11" ht="76.5">
      <c r="A333" s="26" t="s">
        <v>490</v>
      </c>
      <c r="B333" s="27" t="s">
        <v>361</v>
      </c>
      <c r="C333" s="27" t="s">
        <v>44</v>
      </c>
      <c r="D333" s="27" t="s">
        <v>381</v>
      </c>
      <c r="E333" s="27" t="s">
        <v>389</v>
      </c>
      <c r="F333" s="24">
        <v>160.6</v>
      </c>
      <c r="G333" s="24">
        <f t="shared" si="55"/>
        <v>-3.6999999999999886</v>
      </c>
      <c r="H333" s="24">
        <v>156.9</v>
      </c>
      <c r="I333" s="24">
        <v>167.1</v>
      </c>
      <c r="J333" s="25">
        <v>173.7</v>
      </c>
    </row>
    <row r="334" spans="1:11" ht="60.75" thickBot="1">
      <c r="A334" s="10" t="s">
        <v>362</v>
      </c>
      <c r="B334" s="11" t="s">
        <v>363</v>
      </c>
      <c r="C334" s="11"/>
      <c r="D334" s="11"/>
      <c r="E334" s="11"/>
      <c r="F334" s="12">
        <v>72787.606969999993</v>
      </c>
      <c r="G334" s="12">
        <f>SUM(H334-F334)</f>
        <v>1029.0999999999913</v>
      </c>
      <c r="H334" s="12">
        <f>72787.60697+1011.4+17.7</f>
        <v>73816.706969999985</v>
      </c>
      <c r="I334" s="12">
        <v>16250.46336</v>
      </c>
      <c r="J334" s="13">
        <v>14794.99409</v>
      </c>
    </row>
    <row r="335" spans="1:11" ht="51">
      <c r="A335" s="18" t="s">
        <v>364</v>
      </c>
      <c r="B335" s="19" t="s">
        <v>365</v>
      </c>
      <c r="C335" s="19"/>
      <c r="D335" s="19"/>
      <c r="E335" s="19"/>
      <c r="F335" s="20">
        <v>2346</v>
      </c>
      <c r="G335" s="20">
        <f>SUM(H335-F335)</f>
        <v>1011.4000000000001</v>
      </c>
      <c r="H335" s="20">
        <f>2346+1011.4</f>
        <v>3357.4</v>
      </c>
      <c r="I335" s="20">
        <v>1460</v>
      </c>
      <c r="J335" s="21">
        <v>0</v>
      </c>
    </row>
    <row r="336" spans="1:11" ht="51">
      <c r="A336" s="22" t="s">
        <v>366</v>
      </c>
      <c r="B336" s="23" t="s">
        <v>367</v>
      </c>
      <c r="C336" s="23"/>
      <c r="D336" s="23"/>
      <c r="E336" s="23"/>
      <c r="F336" s="24">
        <v>1000</v>
      </c>
      <c r="G336" s="24">
        <f t="shared" ref="G336:G340" si="56">SUM(H336-F336)</f>
        <v>1011.4000000000001</v>
      </c>
      <c r="H336" s="24">
        <f>1000+1011.4</f>
        <v>2011.4</v>
      </c>
      <c r="I336" s="24">
        <v>0</v>
      </c>
      <c r="J336" s="25">
        <v>0</v>
      </c>
    </row>
    <row r="337" spans="1:11" ht="89.25">
      <c r="A337" s="26" t="s">
        <v>525</v>
      </c>
      <c r="B337" s="27" t="s">
        <v>367</v>
      </c>
      <c r="C337" s="27" t="s">
        <v>69</v>
      </c>
      <c r="D337" s="27" t="s">
        <v>389</v>
      </c>
      <c r="E337" s="27" t="s">
        <v>379</v>
      </c>
      <c r="F337" s="24">
        <v>1000</v>
      </c>
      <c r="G337" s="24">
        <f t="shared" si="56"/>
        <v>1011.4000000000001</v>
      </c>
      <c r="H337" s="24">
        <f>1000+1011.4</f>
        <v>2011.4</v>
      </c>
      <c r="I337" s="24">
        <v>0</v>
      </c>
      <c r="J337" s="25">
        <v>0</v>
      </c>
    </row>
    <row r="338" spans="1:11" ht="51">
      <c r="A338" s="22" t="s">
        <v>368</v>
      </c>
      <c r="B338" s="23" t="s">
        <v>369</v>
      </c>
      <c r="C338" s="23"/>
      <c r="D338" s="23"/>
      <c r="E338" s="23"/>
      <c r="F338" s="24">
        <v>1346</v>
      </c>
      <c r="G338" s="24">
        <f t="shared" si="56"/>
        <v>0</v>
      </c>
      <c r="H338" s="24">
        <v>1346</v>
      </c>
      <c r="I338" s="24">
        <v>1460</v>
      </c>
      <c r="J338" s="25">
        <v>0</v>
      </c>
    </row>
    <row r="339" spans="1:11" ht="76.5">
      <c r="A339" s="26" t="s">
        <v>456</v>
      </c>
      <c r="B339" s="27" t="s">
        <v>369</v>
      </c>
      <c r="C339" s="27" t="s">
        <v>37</v>
      </c>
      <c r="D339" s="27" t="s">
        <v>389</v>
      </c>
      <c r="E339" s="27" t="s">
        <v>379</v>
      </c>
      <c r="F339" s="24">
        <v>1346</v>
      </c>
      <c r="G339" s="24">
        <f t="shared" si="56"/>
        <v>-1345.8603900000001</v>
      </c>
      <c r="H339" s="24">
        <v>0.13961000000000001</v>
      </c>
      <c r="I339" s="24">
        <v>1460</v>
      </c>
      <c r="J339" s="25">
        <v>0</v>
      </c>
    </row>
    <row r="340" spans="1:11" ht="63.75">
      <c r="A340" s="26" t="s">
        <v>489</v>
      </c>
      <c r="B340" s="27" t="s">
        <v>369</v>
      </c>
      <c r="C340" s="27" t="s">
        <v>44</v>
      </c>
      <c r="D340" s="27" t="s">
        <v>389</v>
      </c>
      <c r="E340" s="27" t="s">
        <v>379</v>
      </c>
      <c r="F340" s="24">
        <v>0</v>
      </c>
      <c r="G340" s="24">
        <f t="shared" si="56"/>
        <v>1345.8603900000001</v>
      </c>
      <c r="H340" s="24">
        <v>1345.8603900000001</v>
      </c>
      <c r="I340" s="24">
        <v>0</v>
      </c>
      <c r="J340" s="25">
        <v>0</v>
      </c>
    </row>
    <row r="341" spans="1:11" ht="51">
      <c r="A341" s="18" t="s">
        <v>370</v>
      </c>
      <c r="B341" s="19" t="s">
        <v>371</v>
      </c>
      <c r="C341" s="19"/>
      <c r="D341" s="19"/>
      <c r="E341" s="19"/>
      <c r="F341" s="20">
        <v>117.60697</v>
      </c>
      <c r="G341" s="20">
        <f>SUM(H341-F341)</f>
        <v>0</v>
      </c>
      <c r="H341" s="20">
        <v>117.60697</v>
      </c>
      <c r="I341" s="20">
        <v>119.46335999999999</v>
      </c>
      <c r="J341" s="21">
        <v>119.69409</v>
      </c>
    </row>
    <row r="342" spans="1:11" ht="25.5">
      <c r="A342" s="22" t="s">
        <v>372</v>
      </c>
      <c r="B342" s="23" t="s">
        <v>373</v>
      </c>
      <c r="C342" s="23"/>
      <c r="D342" s="23"/>
      <c r="E342" s="23"/>
      <c r="F342" s="24">
        <v>117.60697</v>
      </c>
      <c r="G342" s="24">
        <f t="shared" ref="G342:G343" si="57">SUM(H342-F342)</f>
        <v>0</v>
      </c>
      <c r="H342" s="24">
        <v>117.60697</v>
      </c>
      <c r="I342" s="24">
        <v>119.46335999999999</v>
      </c>
      <c r="J342" s="25">
        <v>119.69409</v>
      </c>
    </row>
    <row r="343" spans="1:11" ht="51">
      <c r="A343" s="26" t="s">
        <v>457</v>
      </c>
      <c r="B343" s="27" t="s">
        <v>373</v>
      </c>
      <c r="C343" s="27" t="s">
        <v>37</v>
      </c>
      <c r="D343" s="27" t="s">
        <v>389</v>
      </c>
      <c r="E343" s="27" t="s">
        <v>379</v>
      </c>
      <c r="F343" s="24">
        <v>117.60697</v>
      </c>
      <c r="G343" s="24">
        <f t="shared" si="57"/>
        <v>0</v>
      </c>
      <c r="H343" s="24">
        <v>117.60697</v>
      </c>
      <c r="I343" s="24">
        <v>119.46335999999999</v>
      </c>
      <c r="J343" s="25">
        <v>119.69409</v>
      </c>
    </row>
    <row r="344" spans="1:11" ht="38.25">
      <c r="A344" s="18" t="s">
        <v>374</v>
      </c>
      <c r="B344" s="19" t="s">
        <v>375</v>
      </c>
      <c r="C344" s="19"/>
      <c r="D344" s="19"/>
      <c r="E344" s="19"/>
      <c r="F344" s="20">
        <v>70324</v>
      </c>
      <c r="G344" s="20">
        <f>SUM(H344-F344)</f>
        <v>17.69999999999709</v>
      </c>
      <c r="H344" s="20">
        <f>70324+17.7</f>
        <v>70341.7</v>
      </c>
      <c r="I344" s="20">
        <v>14671</v>
      </c>
      <c r="J344" s="21">
        <v>14675.3</v>
      </c>
    </row>
    <row r="345" spans="1:11" ht="63.75">
      <c r="A345" s="22" t="s">
        <v>376</v>
      </c>
      <c r="B345" s="23" t="s">
        <v>377</v>
      </c>
      <c r="C345" s="23"/>
      <c r="D345" s="23"/>
      <c r="E345" s="23"/>
      <c r="F345" s="24">
        <v>70324</v>
      </c>
      <c r="G345" s="24">
        <f t="shared" ref="G345:G347" si="58">SUM(H345-F345)</f>
        <v>17.69999999999709</v>
      </c>
      <c r="H345" s="24">
        <f>70324+17.7</f>
        <v>70341.7</v>
      </c>
      <c r="I345" s="24">
        <v>14671</v>
      </c>
      <c r="J345" s="25">
        <v>14675.3</v>
      </c>
    </row>
    <row r="346" spans="1:11" ht="140.25">
      <c r="A346" s="26" t="s">
        <v>415</v>
      </c>
      <c r="B346" s="27" t="s">
        <v>377</v>
      </c>
      <c r="C346" s="27" t="s">
        <v>30</v>
      </c>
      <c r="D346" s="27" t="s">
        <v>389</v>
      </c>
      <c r="E346" s="27" t="s">
        <v>379</v>
      </c>
      <c r="F346" s="24">
        <v>13085.1</v>
      </c>
      <c r="G346" s="24">
        <f t="shared" si="58"/>
        <v>0</v>
      </c>
      <c r="H346" s="24">
        <v>13085.1</v>
      </c>
      <c r="I346" s="24">
        <v>13085.1</v>
      </c>
      <c r="J346" s="25">
        <v>13085.1</v>
      </c>
    </row>
    <row r="347" spans="1:11" ht="102">
      <c r="A347" s="26" t="s">
        <v>458</v>
      </c>
      <c r="B347" s="27" t="s">
        <v>377</v>
      </c>
      <c r="C347" s="27" t="s">
        <v>37</v>
      </c>
      <c r="D347" s="27" t="s">
        <v>389</v>
      </c>
      <c r="E347" s="27" t="s">
        <v>379</v>
      </c>
      <c r="F347" s="24">
        <v>1030.5</v>
      </c>
      <c r="G347" s="24">
        <f t="shared" si="58"/>
        <v>0</v>
      </c>
      <c r="H347" s="24">
        <v>1030.5</v>
      </c>
      <c r="I347" s="24">
        <v>821.4</v>
      </c>
      <c r="J347" s="25">
        <v>825.2</v>
      </c>
    </row>
    <row r="348" spans="1:11" ht="102">
      <c r="A348" s="26" t="s">
        <v>526</v>
      </c>
      <c r="B348" s="27" t="s">
        <v>377</v>
      </c>
      <c r="C348" s="27" t="s">
        <v>69</v>
      </c>
      <c r="D348" s="27" t="s">
        <v>389</v>
      </c>
      <c r="E348" s="27" t="s">
        <v>379</v>
      </c>
      <c r="F348" s="24">
        <v>56208.4</v>
      </c>
      <c r="G348" s="24">
        <f>SUM(H348-F348)</f>
        <v>17.69999999999709</v>
      </c>
      <c r="H348" s="24">
        <f>56208.4+17.7</f>
        <v>56226.1</v>
      </c>
      <c r="I348" s="24">
        <v>764.5</v>
      </c>
      <c r="J348" s="25">
        <v>765</v>
      </c>
      <c r="K348" s="1">
        <v>17.7</v>
      </c>
    </row>
    <row r="349" spans="1:11" ht="15.75" thickBot="1">
      <c r="A349" s="28"/>
      <c r="B349" s="29"/>
      <c r="C349" s="29"/>
      <c r="D349" s="29"/>
      <c r="E349" s="29"/>
      <c r="F349" s="29"/>
      <c r="G349" s="29"/>
      <c r="H349" s="29"/>
      <c r="I349" s="33">
        <v>7789.8</v>
      </c>
      <c r="J349" s="34">
        <v>16953</v>
      </c>
    </row>
    <row r="350" spans="1:11" ht="15.75" thickBot="1">
      <c r="A350" s="30" t="s">
        <v>378</v>
      </c>
      <c r="B350" s="31"/>
      <c r="C350" s="31"/>
      <c r="D350" s="31"/>
      <c r="E350" s="31"/>
      <c r="F350" s="32">
        <f>SUM(F8+F55+F185+F201+F211+F248+F288+F293+F306+F316+F334)</f>
        <v>1553067.8619700004</v>
      </c>
      <c r="G350" s="32">
        <f>SUM(G8+G55+G185+G201+G211+G248+G288+G293+G306+G316+G334)-0.1</f>
        <v>37684.687579999932</v>
      </c>
      <c r="H350" s="32">
        <f>SUM(H8+H55+H185+H201+H211+H248+H288+H293+H306+H316+H334)</f>
        <v>1590752.6495499997</v>
      </c>
      <c r="I350" s="35">
        <f>1282733.87093+7789.8</f>
        <v>1290523.67093</v>
      </c>
      <c r="J350" s="36">
        <f>1247119.47485+16953</f>
        <v>1264072.4748500001</v>
      </c>
    </row>
  </sheetData>
  <autoFilter ref="A3:J350"/>
  <mergeCells count="10">
    <mergeCell ref="H1:J1"/>
    <mergeCell ref="A2:J2"/>
    <mergeCell ref="A4:J4"/>
    <mergeCell ref="A5:A6"/>
    <mergeCell ref="C5:C6"/>
    <mergeCell ref="D5:D6"/>
    <mergeCell ref="E5:E6"/>
    <mergeCell ref="I5:J5"/>
    <mergeCell ref="B5:B6"/>
    <mergeCell ref="F5:H5"/>
  </mergeCells>
  <pageMargins left="0.48" right="0.16" top="0.74803149606299213" bottom="0.74803149606299213" header="0.31496062992125984" footer="0.31496062992125984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2025-04-28T13:01:34Z</cp:lastPrinted>
  <dcterms:created xsi:type="dcterms:W3CDTF">2023-04-11T14:45:19Z</dcterms:created>
  <dcterms:modified xsi:type="dcterms:W3CDTF">2025-04-28T13:02:10Z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